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 Sheet" sheetId="1" state="visible" r:id="rId3"/>
    <sheet name="Board Pull" sheetId="2" state="visible" r:id="rId4"/>
    <sheet name="Weekly Tally" sheetId="3" state="visible" r:id="rId5"/>
    <sheet name="Load Scree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9" authorId="0">
      <text>
        <r>
          <rPr>
            <sz val="10"/>
            <rFont val="Arial"/>
            <family val="2"/>
          </rPr>
          <t xml:space="preserve">Changed from 2500 to 2125 on 2026-08-12.
The published load filters cap a day at 250-450 loaded miles plus up to 150 deadhead. One load per day, five days a week, gives about 2,125 TOTAL miles - not the 2,500 a full-time OTR truck runs. Spreading the same $872/wk of fixed cost over fewer miles raises cost per mile from $1.99 to $2.05.
Source: Season 1 load selection protocol, section 6 of truerpm.app/method.html</t>
        </r>
      </text>
    </comment>
  </commentList>
</comments>
</file>

<file path=xl/sharedStrings.xml><?xml version="1.0" encoding="utf-8"?>
<sst xmlns="http://schemas.openxmlformats.org/spreadsheetml/2006/main" count="309" uniqueCount="258">
  <si>
    <t xml:space="preserve">TRUERPM — TRUCK COST MODEL</t>
  </si>
  <si>
    <t xml:space="preserve">Simulated truck  ·  Dry van  ·  Domicile: Harrisburg, PA  ·  Real loads, priced in TrueRPM  ·  truerpm.app/method.html</t>
  </si>
  <si>
    <t xml:space="preserve">LEGEND:  BLUE = input you set  ·  BLACK = calculated, do not type over  ·  YELLOW FILL = confirm against a real quote before you publish</t>
  </si>
  <si>
    <t xml:space="preserve">A.  THE TRUCK</t>
  </si>
  <si>
    <t xml:space="preserve">Year / Make / Model</t>
  </si>
  <si>
    <t xml:space="preserve">2019 Freightliner Cascadia</t>
  </si>
  <si>
    <t xml:space="preserve">&lt;-- Financed on purpose. A paid-off truck makes every week look survivable and kills the thesis.</t>
  </si>
  <si>
    <t xml:space="preserve">Odometer at season start</t>
  </si>
  <si>
    <t xml:space="preserve">Purchase price</t>
  </si>
  <si>
    <t xml:space="preserve">Amount financed</t>
  </si>
  <si>
    <t xml:space="preserve">APR</t>
  </si>
  <si>
    <t xml:space="preserve">Term (months)</t>
  </si>
  <si>
    <t xml:space="preserve">Monthly truck payment</t>
  </si>
  <si>
    <t xml:space="preserve">Calculated from rows 9-11. Do not overwrite.</t>
  </si>
  <si>
    <t xml:space="preserve">Trailer</t>
  </si>
  <si>
    <t xml:space="preserve">2016 Wabash 53' dry van — owned outright</t>
  </si>
  <si>
    <t xml:space="preserve">Authority age</t>
  </si>
  <si>
    <t xml:space="preserve">3 years under own MC</t>
  </si>
  <si>
    <t xml:space="preserve">B.  OPERATING ASSUMPTIONS</t>
  </si>
  <si>
    <t xml:space="preserve">Diesel price ($/gal)</t>
  </si>
  <si>
    <t xml:space="preserve">EIA U.S. on-highway average, 08/03/26. Update every Monday. Central Atlantic (PADD1B, incl. Harrisburg) was $5.587 the same week - national is the more citable and more conservative choice.</t>
  </si>
  <si>
    <t xml:space="preserve">Average MPG</t>
  </si>
  <si>
    <t xml:space="preserve">Target TOTAL miles per week</t>
  </si>
  <si>
    <t xml:space="preserve">Deadhead as % of total miles</t>
  </si>
  <si>
    <t xml:space="preserve">Loaded miles per week</t>
  </si>
  <si>
    <t xml:space="preserve">Deadhead miles per week</t>
  </si>
  <si>
    <t xml:space="preserve">Weeks per month</t>
  </si>
  <si>
    <t xml:space="preserve">Weekly pay implied by wage/mile</t>
  </si>
  <si>
    <t xml:space="preserve">Most owner-operators never subtract their own pay. That omission IS the leak.</t>
  </si>
  <si>
    <t xml:space="preserve">C.  FIXED MONTHLY COSTS  (these bill whether the truck moves or not)</t>
  </si>
  <si>
    <t xml:space="preserve">Truck payment</t>
  </si>
  <si>
    <t xml:space="preserve">Insurance (liability, cargo, physical damage, occ/acc)</t>
  </si>
  <si>
    <t xml:space="preserve">IRP plates + IFTA admin</t>
  </si>
  <si>
    <t xml:space="preserve">HVUT (Form 2290)</t>
  </si>
  <si>
    <t xml:space="preserve">Load boards + ELD subscriptions</t>
  </si>
  <si>
    <t xml:space="preserve">Accounting, UCR, drug consortium</t>
  </si>
  <si>
    <t xml:space="preserve">Parking / yard</t>
  </si>
  <si>
    <t xml:space="preserve">Phone, tools, misc</t>
  </si>
  <si>
    <t xml:space="preserve">TOTAL FIXED PER MONTH</t>
  </si>
  <si>
    <t xml:space="preserve">TOTAL FIXED PER WEEK  ('the nut')</t>
  </si>
  <si>
    <t xml:space="preserve">SAY THIS NUMBER OUT LOUD IN EVERY MONDAY VIDEO.</t>
  </si>
  <si>
    <t xml:space="preserve">Fixed cost per total mile</t>
  </si>
  <si>
    <t xml:space="preserve">D.  VARIABLE COSTS PER TOTAL MILE  (paid on deadhead miles too)</t>
  </si>
  <si>
    <t xml:space="preserve">Fuel</t>
  </si>
  <si>
    <t xml:space="preserve">Calculated from diesel price / MPG. Moves every week.</t>
  </si>
  <si>
    <t xml:space="preserve">Maintenance + tire reserve</t>
  </si>
  <si>
    <t xml:space="preserve">Reserve, not a bill. Skipping it is why breakdowns end careers.</t>
  </si>
  <si>
    <t xml:space="preserve">Driver wage per mile</t>
  </si>
  <si>
    <t xml:space="preserve">(tolls charged per load, not per mile)</t>
  </si>
  <si>
    <t xml:space="preserve">VARIABLE CPM</t>
  </si>
  <si>
    <t xml:space="preserve">E.  THE NUMBERS THAT MATTER</t>
  </si>
  <si>
    <t xml:space="preserve">TOTAL CPM  (must match the app)</t>
  </si>
  <si>
    <t xml:space="preserve">This is the number typed into TrueRPM's cost-per-mile field. The app then does: cost = (loaded + deadhead) x CPM + tolls.</t>
  </si>
  <si>
    <t xml:space="preserve">Effective cost per LOADED mile</t>
  </si>
  <si>
    <t xml:space="preserve">The gap between row 47 and row 48 is deadhead. That gap is the whole channel.</t>
  </si>
  <si>
    <t xml:space="preserve">(driver wage already sits in row 42)</t>
  </si>
  <si>
    <t xml:space="preserve">TRUE cost per loaded mile</t>
  </si>
  <si>
    <t xml:space="preserve">Factoring fee (% of gross)</t>
  </si>
  <si>
    <t xml:space="preserve">Factoring is NOT deducted by the app - it is a % of gross, not a cost per mile. Row 50 is the figure that matches what you see on screen.</t>
  </si>
  <si>
    <t xml:space="preserve">BREAKEVEN all-in rate per loaded mile</t>
  </si>
  <si>
    <t xml:space="preserve">Any load below this number loses money. Post this figure in every Friday tally.</t>
  </si>
  <si>
    <t xml:space="preserve">Weekly gross needed to break even</t>
  </si>
  <si>
    <t xml:space="preserve">F.  DEADHEAD SENSITIVITY  (why 'good rates' still lose money)</t>
  </si>
  <si>
    <t xml:space="preserve">Deadhead %</t>
  </si>
  <si>
    <t xml:space="preserve">Loaded mi/wk</t>
  </si>
  <si>
    <t xml:space="preserve">True cost / loaded mi</t>
  </si>
  <si>
    <t xml:space="preserve">Breakeven all-in rate</t>
  </si>
  <si>
    <t xml:space="preserve">Same truck. Same fixed costs. Same week of work.</t>
  </si>
  <si>
    <t xml:space="preserve">Only the empty miles change — and the breakeven rate moves by dimes.</t>
  </si>
  <si>
    <t xml:space="preserve">G.  SOURCES  (name these on screen every episode)</t>
  </si>
  <si>
    <t xml:space="preserve">Diesel price</t>
  </si>
  <si>
    <t xml:space="preserve">U.S. Energy Information Administration — weekly on-highway diesel, national + PADD. Updates Monday afternoon.</t>
  </si>
  <si>
    <t xml:space="preserve">Spot rates</t>
  </si>
  <si>
    <t xml:space="preserve">DAT Freight &amp; Analytics — national average dry van linehaul and all-in, by week.</t>
  </si>
  <si>
    <t xml:space="preserve">Cost benchmark</t>
  </si>
  <si>
    <t xml:space="preserve">ATRI 2026 Operational Costs of Trucking — average cost to run a truck reached a record $2.336/mile in 2025.</t>
  </si>
  <si>
    <t xml:space="preserve">Load selection</t>
  </si>
  <si>
    <t xml:space="preserve">Board snapshot pulled daily 6:00 PM ET, screenshotted and timestamped. Retained internally, not published (load board terms). Three selectors, fixed rules, no cherry-picking.</t>
  </si>
  <si>
    <t xml:space="preserve">H.  THE CLOCK  (hours of service — your real capacity constraint)</t>
  </si>
  <si>
    <t xml:space="preserve">Average road speed incl. stops (mph)</t>
  </si>
  <si>
    <t xml:space="preserve">Practical miles per driving day</t>
  </si>
  <si>
    <t xml:space="preserve">Anything beyond this on a single load adds a transit day. That day costs a full day of fixed cost.</t>
  </si>
  <si>
    <t xml:space="preserve">Productive hours per day (drive + dock)</t>
  </si>
  <si>
    <t xml:space="preserve">Working days per week</t>
  </si>
  <si>
    <t xml:space="preserve">HOS weekly on-duty cap (70 hrs / 8 days)</t>
  </si>
  <si>
    <t xml:space="preserve">DAILY fixed cost (the nut, per working day)</t>
  </si>
  <si>
    <t xml:space="preserve">THIS is what a day of detention actually costs you before you earn a dime.</t>
  </si>
  <si>
    <t xml:space="preserve">Ceiling: max weekly miles at this pace</t>
  </si>
  <si>
    <t xml:space="preserve">Target as % of ceiling</t>
  </si>
  <si>
    <t xml:space="preserve">Daily Goal / Net Profit (match the app)</t>
  </si>
  <si>
    <t xml:space="preserve">Green-verdict threshold. Sets what a load has to clear per DAY, not per mile.</t>
  </si>
  <si>
    <t xml:space="preserve">I.  SEASON 1 LOAD SELECTION CAPS  (published in the protocol)</t>
  </si>
  <si>
    <t xml:space="preserve">Max deadhead miles to pickup</t>
  </si>
  <si>
    <t xml:space="preserve">Max loaded miles per load</t>
  </si>
  <si>
    <t xml:space="preserve">Max total miles, one load</t>
  </si>
  <si>
    <t xml:space="preserve">Loads considered per day</t>
  </si>
  <si>
    <t xml:space="preserve">Selection method</t>
  </si>
  <si>
    <t xml:space="preserve">Three selectors - see rows 91-93</t>
  </si>
  <si>
    <t xml:space="preserve">Three dispatch philosophies, applied to the same qualifying pool. Priority order A &gt; B &gt; C.</t>
  </si>
  <si>
    <t xml:space="preserve">Baseline miles per day</t>
  </si>
  <si>
    <t xml:space="preserve">Pace warning threshold (% of baseline)</t>
  </si>
  <si>
    <t xml:space="preserve">Warning fires below</t>
  </si>
  <si>
    <t xml:space="preserve">Use 80%. At 100% a 450-mile single-day load trips the warning and users learn to ignore it.</t>
  </si>
  <si>
    <t xml:space="preserve">Min loaded miles per load</t>
  </si>
  <si>
    <t xml:space="preserve">Below 250 one load cannot fill a day and the one-load-per-day structure stops representing a real week.</t>
  </si>
  <si>
    <t xml:space="preserve">Expected weekly total miles at these caps</t>
  </si>
  <si>
    <t xml:space="preserve">Gap vs the weekly estimate in row 19</t>
  </si>
  <si>
    <t xml:space="preserve">The protocol structurally under-runs the estimate. Real CPM will exceed the app's $1.99 every week. Track it, do not hide it.</t>
  </si>
  <si>
    <t xml:space="preserve">Selector A - THE RATE CHASER</t>
  </si>
  <si>
    <t xml:space="preserve">Highest rate per LOADED mile</t>
  </si>
  <si>
    <t xml:space="preserve">Revenue-seeking. Surfaces the trap load nearly every week.</t>
  </si>
  <si>
    <t xml:space="preserve">Selector B - THE BIG CHECK</t>
  </si>
  <si>
    <t xml:space="preserve">Highest total posted rate</t>
  </si>
  <si>
    <t xml:space="preserve">Selector C - THE CLOSE ONE</t>
  </si>
  <si>
    <t xml:space="preserve">Shortest origin deadhead</t>
  </si>
  <si>
    <t xml:space="preserve">The only revenue-BLIND selector. This is what keeps a normal load in frame.</t>
  </si>
  <si>
    <t xml:space="preserve">Max posting age</t>
  </si>
  <si>
    <t xml:space="preserve">24 hours</t>
  </si>
  <si>
    <t xml:space="preserve">Removes stale and phantom postings. Real high-rate freight is covered in minutes.</t>
  </si>
  <si>
    <t xml:space="preserve">Tie-break</t>
  </si>
  <si>
    <t xml:space="preserve">Higher-priority selector keeps it; lower takes its next-best</t>
  </si>
  <si>
    <t xml:space="preserve">Miles source</t>
  </si>
  <si>
    <t xml:space="preserve">Truckstop trip miles (not the search-origin figure)</t>
  </si>
  <si>
    <t xml:space="preserve">Tolls convention</t>
  </si>
  <si>
    <t xml:space="preserve">Loaded leg only - deadhead tolls not counted</t>
  </si>
  <si>
    <t xml:space="preserve">BOARD PULL - SUNDAY 6:00 PM ET</t>
  </si>
  <si>
    <t xml:space="preserve">One snapshot. Five origin queries. Top 3 by rate per LOADED mile at each origin.</t>
  </si>
  <si>
    <t xml:space="preserve">BLUE = type it in  |  ORANGE = copy from TrueRPM after you run the load  |  BLACK = calculated</t>
  </si>
  <si>
    <t xml:space="preserve">Day</t>
  </si>
  <si>
    <t xml:space="preserve">Selector</t>
  </si>
  <si>
    <t xml:space="preserve">Origin</t>
  </si>
  <si>
    <t xml:space="preserve">Destination</t>
  </si>
  <si>
    <t xml:space="preserve">Loaded mi</t>
  </si>
  <si>
    <t xml:space="preserve">DH mi</t>
  </si>
  <si>
    <t xml:space="preserve">Total mi</t>
  </si>
  <si>
    <t xml:space="preserve">Linehaul $</t>
  </si>
  <si>
    <t xml:space="preserve">Access. $</t>
  </si>
  <si>
    <t xml:space="preserve">Tolls $ (loaded leg)</t>
  </si>
  <si>
    <t xml:space="preserve">Total pay $</t>
  </si>
  <si>
    <t xml:space="preserve">$/loaded mi</t>
  </si>
  <si>
    <t xml:space="preserve">Pickup</t>
  </si>
  <si>
    <t xml:space="preserve">Delivery</t>
  </si>
  <si>
    <t xml:space="preserve">Transit days</t>
  </si>
  <si>
    <t xml:space="preserve">In caps?</t>
  </si>
  <si>
    <t xml:space="preserve">App NET $</t>
  </si>
  <si>
    <t xml:space="preserve">App NET/day $</t>
  </si>
  <si>
    <t xml:space="preserve">WINNER</t>
  </si>
  <si>
    <t xml:space="preserve">Pool size</t>
  </si>
  <si>
    <t xml:space="preserve">Pool median $/mi</t>
  </si>
  <si>
    <t xml:space="preserve">Mon</t>
  </si>
  <si>
    <t xml:space="preserve">A - Rate Chaser</t>
  </si>
  <si>
    <t xml:space="preserve">B - Big Check</t>
  </si>
  <si>
    <t xml:space="preserve">C - Close One</t>
  </si>
  <si>
    <t xml:space="preserve">Tue</t>
  </si>
  <si>
    <t xml:space="preserve">Wed</t>
  </si>
  <si>
    <t xml:space="preserve">Thu</t>
  </si>
  <si>
    <t xml:space="preserve">Fri</t>
  </si>
  <si>
    <t xml:space="preserve">AFTER THE PULL</t>
  </si>
  <si>
    <t xml:space="preserve">Board snapshot screenshot saved with visible timestamp + load count?</t>
  </si>
  <si>
    <t xml:space="preserve">[  ]</t>
  </si>
  <si>
    <t xml:space="preserve">Posting-age filter set to 24 hours?</t>
  </si>
  <si>
    <t xml:space="preserve">Each day's origin = previous day's WINNER destination?</t>
  </si>
  <si>
    <t xml:space="preserve">Selector collision? Higher priority (A &gt; B &gt; C) kept it, lower took next-best?</t>
  </si>
  <si>
    <t xml:space="preserve">Pool size and median $/mi recorded for each day?</t>
  </si>
  <si>
    <t xml:space="preserve">Any day with fewer than 3 qualifying loads - noted?</t>
  </si>
  <si>
    <t xml:space="preserve">Any sit days (zero qualifying) - logged at $0 revenue?</t>
  </si>
  <si>
    <t xml:space="preserve">Winners copied into the Weekly Tally tab?</t>
  </si>
  <si>
    <t xml:space="preserve">Rule: the app picks. Highest App NET/day among the three that pass caps. Ties go to the load ending closest to Harrisburg.</t>
  </si>
  <si>
    <t xml:space="preserve">You do not override it. A load marked NO in caps never enters the decision set, even if it looks great.</t>
  </si>
  <si>
    <t xml:space="preserve">Selectors: A = highest $/loaded mile. B = highest total posted rate. C = shortest origin deadhead.</t>
  </si>
  <si>
    <t xml:space="preserve">PHILOSOPHY SCOREBOARD  (season running count)</t>
  </si>
  <si>
    <t xml:space="preserve">Winning selector</t>
  </si>
  <si>
    <t xml:space="preserve">Best net/day</t>
  </si>
  <si>
    <t xml:space="preserve">THIS WEEK</t>
  </si>
  <si>
    <t xml:space="preserve">wins</t>
  </si>
  <si>
    <t xml:space="preserve">Carry these into a season tally. The headline stat: how often the metric the whole industry quotes actually picks correctly.</t>
  </si>
  <si>
    <t xml:space="preserve">WEEKLY TALLY — FRIDAY EPISODE ENGINE</t>
  </si>
  <si>
    <t xml:space="preserve">Week of:</t>
  </si>
  <si>
    <t xml:space="preserve">EXAMPLE WEEK — replace with your real board pull</t>
  </si>
  <si>
    <t xml:space="preserve">Rows 6-10 are example values in the correct format. Overwrite them. Everything below row 12 calculates itself.</t>
  </si>
  <si>
    <t xml:space="preserve">FSC $</t>
  </si>
  <si>
    <t xml:space="preserve">Accessorials $</t>
  </si>
  <si>
    <t xml:space="preserve">All-in $/loaded mi</t>
  </si>
  <si>
    <t xml:space="preserve">Monday</t>
  </si>
  <si>
    <t xml:space="preserve">Harrisburg, PA</t>
  </si>
  <si>
    <t xml:space="preserve">Atlanta, GA</t>
  </si>
  <si>
    <t xml:space="preserve">Tuesday</t>
  </si>
  <si>
    <t xml:space="preserve">Charlotte, NC</t>
  </si>
  <si>
    <t xml:space="preserve">Wednesday</t>
  </si>
  <si>
    <t xml:space="preserve">Columbus, OH</t>
  </si>
  <si>
    <t xml:space="preserve">Thursday</t>
  </si>
  <si>
    <t xml:space="preserve">Pittsburgh, PA</t>
  </si>
  <si>
    <t xml:space="preserve">Friday</t>
  </si>
  <si>
    <t xml:space="preserve">WEEK TOTAL</t>
  </si>
  <si>
    <t xml:space="preserve">WHAT IT ACTUALLY COST</t>
  </si>
  <si>
    <t xml:space="preserve">GROSS REVENUE</t>
  </si>
  <si>
    <t xml:space="preserve">Driver wage</t>
  </si>
  <si>
    <t xml:space="preserve">Factoring fee</t>
  </si>
  <si>
    <t xml:space="preserve">Fixed weekly nut (the truck bills anyway)</t>
  </si>
  <si>
    <t xml:space="preserve">TOTAL COSTS</t>
  </si>
  <si>
    <t xml:space="preserve">THE VERDICT</t>
  </si>
  <si>
    <t xml:space="preserve">NET BEFORE OWNER PAY</t>
  </si>
  <si>
    <t xml:space="preserve">This is the number the Friday video ends on.</t>
  </si>
  <si>
    <t xml:space="preserve">Net per TOTAL mile</t>
  </si>
  <si>
    <t xml:space="preserve">Net per LOADED mile</t>
  </si>
  <si>
    <t xml:space="preserve">Owner's target take-home</t>
  </si>
  <si>
    <t xml:space="preserve">ACTUAL vs TARGET</t>
  </si>
  <si>
    <t xml:space="preserve">Deadhead % this week</t>
  </si>
  <si>
    <t xml:space="preserve">Breakeven rate needed (from spec sheet)</t>
  </si>
  <si>
    <t xml:space="preserve">Actual all-in achieved per loaded mile</t>
  </si>
  <si>
    <t xml:space="preserve">MARGIN PER LOADED MILE</t>
  </si>
  <si>
    <t xml:space="preserve">Negative here = he worked five days to lose money. Publish it anyway. That episode is your best one.</t>
  </si>
  <si>
    <t xml:space="preserve">COUNTERFACTUAL (run the same week a second way, then state the dollar delta on camera)</t>
  </si>
  <si>
    <t xml:space="preserve">Rule applied:</t>
  </si>
  <si>
    <t xml:space="preserve">e.g. 'refuse any load with deadhead over 75 miles'</t>
  </si>
  <si>
    <t xml:space="preserve">Net under that rule:</t>
  </si>
  <si>
    <t xml:space="preserve">DELTA</t>
  </si>
  <si>
    <t xml:space="preserve">LOAD SCREEN — PRICE THE CLOCK, NOT JUST THE MILES</t>
  </si>
  <si>
    <t xml:space="preserve">Enter one load. BLUE = you type it. Verdict language matches TrueRPM's green / amber / red.</t>
  </si>
  <si>
    <t xml:space="preserve">THE LOAD</t>
  </si>
  <si>
    <t xml:space="preserve">Test load from your Dispatch screen</t>
  </si>
  <si>
    <t xml:space="preserve">Loaded miles</t>
  </si>
  <si>
    <t xml:space="preserve">Deadhead miles to pickup</t>
  </si>
  <si>
    <t xml:space="preserve">Confirm the app charges variable CPM on loaded + deadhead, not loaded only.</t>
  </si>
  <si>
    <t xml:space="preserve">TOTAL MILES</t>
  </si>
  <si>
    <t xml:space="preserve">Fuel surcharge $</t>
  </si>
  <si>
    <t xml:space="preserve">Accessorial revenue $</t>
  </si>
  <si>
    <t xml:space="preserve">TOTAL PAY</t>
  </si>
  <si>
    <t xml:space="preserve">THE CLOCK</t>
  </si>
  <si>
    <t xml:space="preserve">Pickup date</t>
  </si>
  <si>
    <t xml:space="preserve">2026-08-03</t>
  </si>
  <si>
    <t xml:space="preserve">Delivery date</t>
  </si>
  <si>
    <t xml:space="preserve">2026-08-05</t>
  </si>
  <si>
    <t xml:space="preserve">TRANSIT DAYS  (app rule)</t>
  </si>
  <si>
    <t xml:space="preserve">MAX(1, delivery - pickup), same rule as the app. Type it in from the dates above.</t>
  </si>
  <si>
    <t xml:space="preserve">Driving hours</t>
  </si>
  <si>
    <t xml:space="preserve">Implied miles per day</t>
  </si>
  <si>
    <t xml:space="preserve">Pace check</t>
  </si>
  <si>
    <t xml:space="preserve">Tolls $ (cost on this load)</t>
  </si>
  <si>
    <t xml:space="preserve">DAYS CONSUMED</t>
  </si>
  <si>
    <t xml:space="preserve">Your inventory. You get ~5 a week and they do not roll over.</t>
  </si>
  <si>
    <t xml:space="preserve">Within Season 1 caps?</t>
  </si>
  <si>
    <t xml:space="preserve">Deadhead &lt;=150, loaded 250-450. Fails any -&gt; the load never enters the decision set.</t>
  </si>
  <si>
    <t xml:space="preserve">THE MONEY</t>
  </si>
  <si>
    <t xml:space="preserve">Variable cost (charged on TOTAL miles)</t>
  </si>
  <si>
    <t xml:space="preserve">CONTRIBUTION (before fixed costs)</t>
  </si>
  <si>
    <t xml:space="preserve">Contribution PER DAY</t>
  </si>
  <si>
    <t xml:space="preserve">Daily nut to beat</t>
  </si>
  <si>
    <t xml:space="preserve">PROFIT PER DAY</t>
  </si>
  <si>
    <t xml:space="preserve">Rate per loaded mile (what everyone quotes)</t>
  </si>
  <si>
    <t xml:space="preserve">Row 32 is the industry's vocabulary. Row 31 is the truth.</t>
  </si>
  <si>
    <t xml:space="preserve">Rate per TOTAL mile (what you actually run)</t>
  </si>
  <si>
    <t xml:space="preserve">Target daily profit</t>
  </si>
  <si>
    <t xml:space="preserve">VERDICT</t>
  </si>
  <si>
    <t xml:space="preserve">Counter-offer: total pay needed for GREEN</t>
  </si>
  <si>
    <t xml:space="preserve">The number you say on the phone. Not a feeling — a calculated floor.</t>
  </si>
  <si>
    <t xml:space="preserve">That equals, per loaded mile</t>
  </si>
  <si>
    <t xml:space="preserve">Gap vs what is on the board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</si>
</sst>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"/>
    <numFmt numFmtId="166" formatCode="\$#,##0;&quot;($&quot;#,##0\);\-"/>
    <numFmt numFmtId="167" formatCode="0.0%"/>
    <numFmt numFmtId="168" formatCode="\$#,##0.000"/>
    <numFmt numFmtId="169" formatCode="0.0"/>
    <numFmt numFmtId="170" formatCode="0.00"/>
    <numFmt numFmtId="171" formatCode="\$#,##0.000;&quot;($&quot;#,##0.000\);\-"/>
    <numFmt numFmtId="172" formatCode="0"/>
    <numFmt numFmtId="173" formatCode="mm/dd/yyyy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2"/>
    </font>
    <font>
      <b val="true"/>
      <sz val="9"/>
      <color rgb="FFFFFFFF"/>
      <name val="Arial"/>
      <family val="0"/>
      <charset val="1"/>
    </font>
    <font>
      <sz val="10"/>
      <color rgb="FFC55A11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2933"/>
        <bgColor rgb="FF333300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46"/>
    <col collapsed="false" customWidth="true" hidden="false" outlineLevel="0" max="3" min="3" style="1" width="22"/>
    <col collapsed="false" customWidth="true" hidden="false" outlineLevel="0" max="4" min="4" style="1" width="24"/>
    <col collapsed="false" customWidth="true" hidden="false" outlineLevel="0" max="5" min="5" style="1" width="18"/>
    <col collapsed="false" customWidth="true" hidden="false" outlineLevel="0" max="6" min="6" style="1" width="55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3" t="s">
        <v>2</v>
      </c>
    </row>
    <row r="5" customFormat="false" ht="15" hidden="false" customHeight="true" outlineLevel="0" collapsed="false">
      <c r="A5" s="4" t="s">
        <v>3</v>
      </c>
      <c r="B5" s="5"/>
      <c r="C5" s="5"/>
      <c r="D5" s="5"/>
      <c r="E5" s="5"/>
    </row>
    <row r="6" customFormat="false" ht="15" hidden="false" customHeight="true" outlineLevel="0" collapsed="false">
      <c r="A6" s="6" t="s">
        <v>4</v>
      </c>
      <c r="B6" s="7" t="s">
        <v>5</v>
      </c>
      <c r="D6" s="3" t="s">
        <v>6</v>
      </c>
    </row>
    <row r="7" customFormat="false" ht="15" hidden="false" customHeight="true" outlineLevel="0" collapsed="false">
      <c r="A7" s="6" t="s">
        <v>7</v>
      </c>
      <c r="B7" s="8" t="n">
        <v>548000</v>
      </c>
    </row>
    <row r="8" customFormat="false" ht="15" hidden="false" customHeight="true" outlineLevel="0" collapsed="false">
      <c r="A8" s="6" t="s">
        <v>8</v>
      </c>
      <c r="B8" s="9" t="n">
        <v>62000</v>
      </c>
    </row>
    <row r="9" customFormat="false" ht="15" hidden="false" customHeight="true" outlineLevel="0" collapsed="false">
      <c r="A9" s="6" t="s">
        <v>9</v>
      </c>
      <c r="B9" s="9" t="n">
        <v>55000</v>
      </c>
    </row>
    <row r="10" customFormat="false" ht="15" hidden="false" customHeight="true" outlineLevel="0" collapsed="false">
      <c r="A10" s="6" t="s">
        <v>10</v>
      </c>
      <c r="B10" s="10" t="n">
        <v>0.12</v>
      </c>
    </row>
    <row r="11" customFormat="false" ht="15" hidden="false" customHeight="true" outlineLevel="0" collapsed="false">
      <c r="A11" s="6" t="s">
        <v>11</v>
      </c>
      <c r="B11" s="8" t="n">
        <v>48</v>
      </c>
    </row>
    <row r="12" customFormat="false" ht="15" hidden="false" customHeight="true" outlineLevel="0" collapsed="false">
      <c r="A12" s="6" t="s">
        <v>12</v>
      </c>
      <c r="B12" s="11" t="n">
        <f aca="false">IFERROR(B9*(B10/12)/(1-(1+B10/12)^-B11),0)</f>
        <v>1448.36094875603</v>
      </c>
      <c r="D12" s="3" t="s">
        <v>13</v>
      </c>
    </row>
    <row r="13" customFormat="false" ht="15" hidden="false" customHeight="true" outlineLevel="0" collapsed="false">
      <c r="A13" s="6" t="s">
        <v>14</v>
      </c>
      <c r="B13" s="7" t="s">
        <v>15</v>
      </c>
    </row>
    <row r="14" customFormat="false" ht="15" hidden="false" customHeight="true" outlineLevel="0" collapsed="false">
      <c r="A14" s="6" t="s">
        <v>16</v>
      </c>
      <c r="B14" s="7" t="s">
        <v>17</v>
      </c>
    </row>
    <row r="16" customFormat="false" ht="15" hidden="false" customHeight="true" outlineLevel="0" collapsed="false">
      <c r="A16" s="4" t="s">
        <v>18</v>
      </c>
      <c r="B16" s="5"/>
      <c r="C16" s="5"/>
      <c r="D16" s="5"/>
      <c r="E16" s="5"/>
    </row>
    <row r="17" customFormat="false" ht="15" hidden="false" customHeight="true" outlineLevel="0" collapsed="false">
      <c r="A17" s="6" t="s">
        <v>19</v>
      </c>
      <c r="B17" s="12" t="n">
        <v>5.348</v>
      </c>
      <c r="D17" s="3" t="s">
        <v>20</v>
      </c>
    </row>
    <row r="18" customFormat="false" ht="15" hidden="false" customHeight="true" outlineLevel="0" collapsed="false">
      <c r="A18" s="6" t="s">
        <v>21</v>
      </c>
      <c r="B18" s="13" t="n">
        <v>6.8</v>
      </c>
    </row>
    <row r="19" customFormat="false" ht="15" hidden="false" customHeight="true" outlineLevel="0" collapsed="false">
      <c r="A19" s="6" t="s">
        <v>22</v>
      </c>
      <c r="B19" s="8" t="n">
        <v>2125</v>
      </c>
    </row>
    <row r="20" customFormat="false" ht="15" hidden="false" customHeight="true" outlineLevel="0" collapsed="false">
      <c r="A20" s="6" t="s">
        <v>23</v>
      </c>
      <c r="B20" s="10" t="n">
        <v>0.12</v>
      </c>
    </row>
    <row r="21" customFormat="false" ht="15" hidden="false" customHeight="true" outlineLevel="0" collapsed="false">
      <c r="A21" s="6" t="s">
        <v>24</v>
      </c>
      <c r="B21" s="14" t="n">
        <f aca="false">B19*(1-B20)</f>
        <v>1870</v>
      </c>
    </row>
    <row r="22" customFormat="false" ht="15" hidden="false" customHeight="true" outlineLevel="0" collapsed="false">
      <c r="A22" s="6" t="s">
        <v>25</v>
      </c>
      <c r="B22" s="14" t="n">
        <f aca="false">B19*B20</f>
        <v>255</v>
      </c>
    </row>
    <row r="23" customFormat="false" ht="15" hidden="false" customHeight="true" outlineLevel="0" collapsed="false">
      <c r="A23" s="6" t="s">
        <v>26</v>
      </c>
      <c r="B23" s="15" t="n">
        <v>4.33</v>
      </c>
    </row>
    <row r="24" customFormat="false" ht="15" hidden="false" customHeight="true" outlineLevel="0" collapsed="false">
      <c r="A24" s="6" t="s">
        <v>27</v>
      </c>
      <c r="B24" s="11" t="n">
        <f aca="false">B42*B21</f>
        <v>1122</v>
      </c>
      <c r="D24" s="3" t="s">
        <v>28</v>
      </c>
    </row>
    <row r="26" customFormat="false" ht="15" hidden="false" customHeight="true" outlineLevel="0" collapsed="false">
      <c r="A26" s="4" t="s">
        <v>29</v>
      </c>
      <c r="B26" s="5"/>
      <c r="C26" s="5"/>
      <c r="D26" s="5"/>
      <c r="E26" s="5"/>
    </row>
    <row r="27" customFormat="false" ht="15" hidden="false" customHeight="true" outlineLevel="0" collapsed="false">
      <c r="A27" s="6" t="s">
        <v>30</v>
      </c>
      <c r="B27" s="16" t="n">
        <f aca="false">B12</f>
        <v>1448.36094875603</v>
      </c>
    </row>
    <row r="28" customFormat="false" ht="15" hidden="false" customHeight="true" outlineLevel="0" collapsed="false">
      <c r="A28" s="6" t="s">
        <v>31</v>
      </c>
      <c r="B28" s="17" t="n">
        <v>1500</v>
      </c>
    </row>
    <row r="29" customFormat="false" ht="15" hidden="false" customHeight="true" outlineLevel="0" collapsed="false">
      <c r="A29" s="6" t="s">
        <v>32</v>
      </c>
      <c r="B29" s="9" t="n">
        <v>183</v>
      </c>
    </row>
    <row r="30" customFormat="false" ht="15" hidden="false" customHeight="true" outlineLevel="0" collapsed="false">
      <c r="A30" s="6" t="s">
        <v>33</v>
      </c>
      <c r="B30" s="9" t="n">
        <v>46</v>
      </c>
    </row>
    <row r="31" customFormat="false" ht="15" hidden="false" customHeight="true" outlineLevel="0" collapsed="false">
      <c r="A31" s="6" t="s">
        <v>34</v>
      </c>
      <c r="B31" s="17" t="n">
        <v>220</v>
      </c>
    </row>
    <row r="32" customFormat="false" ht="15" hidden="false" customHeight="true" outlineLevel="0" collapsed="false">
      <c r="A32" s="6" t="s">
        <v>35</v>
      </c>
      <c r="B32" s="9" t="n">
        <v>120</v>
      </c>
    </row>
    <row r="33" customFormat="false" ht="15" hidden="false" customHeight="true" outlineLevel="0" collapsed="false">
      <c r="A33" s="6" t="s">
        <v>36</v>
      </c>
      <c r="B33" s="9" t="n">
        <v>150</v>
      </c>
    </row>
    <row r="34" customFormat="false" ht="15" hidden="false" customHeight="true" outlineLevel="0" collapsed="false">
      <c r="A34" s="6" t="s">
        <v>37</v>
      </c>
      <c r="B34" s="9" t="n">
        <v>110</v>
      </c>
    </row>
    <row r="35" customFormat="false" ht="15" hidden="false" customHeight="true" outlineLevel="0" collapsed="false">
      <c r="A35" s="18" t="s">
        <v>38</v>
      </c>
      <c r="B35" s="19" t="n">
        <f aca="false">SUM(B27:B34)</f>
        <v>3777.36094875603</v>
      </c>
    </row>
    <row r="36" customFormat="false" ht="15" hidden="false" customHeight="true" outlineLevel="0" collapsed="false">
      <c r="A36" s="18" t="s">
        <v>39</v>
      </c>
      <c r="B36" s="20" t="n">
        <f aca="false">B35/B23</f>
        <v>872.369734123794</v>
      </c>
      <c r="D36" s="3" t="s">
        <v>40</v>
      </c>
    </row>
    <row r="37" customFormat="false" ht="15" hidden="false" customHeight="true" outlineLevel="0" collapsed="false">
      <c r="A37" s="6" t="s">
        <v>41</v>
      </c>
      <c r="B37" s="21" t="n">
        <f aca="false">B36/B19</f>
        <v>0.410526933705315</v>
      </c>
    </row>
    <row r="39" customFormat="false" ht="15" hidden="false" customHeight="true" outlineLevel="0" collapsed="false">
      <c r="A39" s="4" t="s">
        <v>42</v>
      </c>
      <c r="B39" s="5"/>
      <c r="C39" s="5"/>
      <c r="D39" s="5"/>
      <c r="E39" s="5"/>
    </row>
    <row r="40" customFormat="false" ht="15" hidden="false" customHeight="true" outlineLevel="0" collapsed="false">
      <c r="A40" s="6" t="s">
        <v>43</v>
      </c>
      <c r="B40" s="21" t="n">
        <f aca="false">B17/B18</f>
        <v>0.786470588235294</v>
      </c>
      <c r="D40" s="3" t="s">
        <v>44</v>
      </c>
    </row>
    <row r="41" customFormat="false" ht="15" hidden="false" customHeight="true" outlineLevel="0" collapsed="false">
      <c r="A41" s="6" t="s">
        <v>45</v>
      </c>
      <c r="B41" s="22" t="n">
        <v>0.25</v>
      </c>
      <c r="D41" s="3" t="s">
        <v>46</v>
      </c>
    </row>
    <row r="42" customFormat="false" ht="15" hidden="false" customHeight="true" outlineLevel="0" collapsed="false">
      <c r="A42" s="6" t="s">
        <v>47</v>
      </c>
      <c r="B42" s="22" t="n">
        <v>0.6</v>
      </c>
    </row>
    <row r="43" customFormat="false" ht="15" hidden="false" customHeight="true" outlineLevel="0" collapsed="false">
      <c r="A43" s="6" t="s">
        <v>48</v>
      </c>
      <c r="B43" s="22" t="n">
        <v>0</v>
      </c>
    </row>
    <row r="44" customFormat="false" ht="15" hidden="false" customHeight="true" outlineLevel="0" collapsed="false">
      <c r="A44" s="18" t="s">
        <v>49</v>
      </c>
      <c r="B44" s="23" t="n">
        <f aca="false">SUM(B40:B43)</f>
        <v>1.63647058823529</v>
      </c>
    </row>
    <row r="46" customFormat="false" ht="15" hidden="false" customHeight="true" outlineLevel="0" collapsed="false">
      <c r="A46" s="4" t="s">
        <v>50</v>
      </c>
      <c r="B46" s="5"/>
      <c r="C46" s="5"/>
      <c r="D46" s="5"/>
      <c r="E46" s="5"/>
    </row>
    <row r="47" customFormat="false" ht="15" hidden="false" customHeight="true" outlineLevel="0" collapsed="false">
      <c r="A47" s="18" t="s">
        <v>51</v>
      </c>
      <c r="B47" s="23" t="n">
        <f aca="false">B37+B44</f>
        <v>2.04699752194061</v>
      </c>
      <c r="D47" s="1" t="s">
        <v>52</v>
      </c>
    </row>
    <row r="48" customFormat="false" ht="15" hidden="false" customHeight="true" outlineLevel="0" collapsed="false">
      <c r="A48" s="6" t="s">
        <v>53</v>
      </c>
      <c r="B48" s="21" t="n">
        <f aca="false">(B36+B44*B19)/B21</f>
        <v>2.32613354765978</v>
      </c>
      <c r="D48" s="3" t="s">
        <v>54</v>
      </c>
    </row>
    <row r="49" customFormat="false" ht="15" hidden="false" customHeight="true" outlineLevel="0" collapsed="false">
      <c r="A49" s="6" t="s">
        <v>55</v>
      </c>
      <c r="B49" s="21" t="n">
        <v>0</v>
      </c>
    </row>
    <row r="50" customFormat="false" ht="15" hidden="false" customHeight="true" outlineLevel="0" collapsed="false">
      <c r="A50" s="18" t="s">
        <v>56</v>
      </c>
      <c r="B50" s="23" t="n">
        <f aca="false">B48+B49</f>
        <v>2.32613354765978</v>
      </c>
    </row>
    <row r="51" customFormat="false" ht="15" hidden="false" customHeight="true" outlineLevel="0" collapsed="false">
      <c r="A51" s="6" t="s">
        <v>57</v>
      </c>
      <c r="B51" s="10" t="n">
        <v>0.025</v>
      </c>
      <c r="D51" s="1" t="s">
        <v>58</v>
      </c>
    </row>
    <row r="52" customFormat="false" ht="15" hidden="false" customHeight="true" outlineLevel="0" collapsed="false">
      <c r="A52" s="18" t="s">
        <v>59</v>
      </c>
      <c r="B52" s="23" t="n">
        <f aca="false">B50/(1-B51)</f>
        <v>2.38577799759978</v>
      </c>
      <c r="D52" s="3" t="s">
        <v>60</v>
      </c>
    </row>
    <row r="53" customFormat="false" ht="15" hidden="false" customHeight="true" outlineLevel="0" collapsed="false">
      <c r="A53" s="6" t="s">
        <v>61</v>
      </c>
      <c r="B53" s="11" t="n">
        <f aca="false">B52*B21</f>
        <v>4461.40485551158</v>
      </c>
    </row>
    <row r="55" customFormat="false" ht="15" hidden="false" customHeight="true" outlineLevel="0" collapsed="false">
      <c r="A55" s="4" t="s">
        <v>62</v>
      </c>
      <c r="B55" s="5"/>
      <c r="C55" s="5"/>
      <c r="D55" s="5"/>
      <c r="E55" s="5"/>
    </row>
    <row r="56" customFormat="false" ht="15" hidden="false" customHeight="true" outlineLevel="0" collapsed="false">
      <c r="A56" s="24" t="s">
        <v>63</v>
      </c>
      <c r="B56" s="24" t="s">
        <v>64</v>
      </c>
      <c r="C56" s="24" t="s">
        <v>65</v>
      </c>
      <c r="D56" s="24" t="s">
        <v>66</v>
      </c>
    </row>
    <row r="57" customFormat="false" ht="15" hidden="false" customHeight="true" outlineLevel="0" collapsed="false">
      <c r="A57" s="25" t="n">
        <v>0.05</v>
      </c>
      <c r="B57" s="26" t="n">
        <f aca="false">$B$19*(1-A57)</f>
        <v>2018.75</v>
      </c>
      <c r="C57" s="27" t="n">
        <f aca="false">($B$36+$B$44*$B$19)/B57</f>
        <v>2.15473423362169</v>
      </c>
      <c r="D57" s="27" t="n">
        <f aca="false">C57/(1-$B$51)</f>
        <v>2.20998382935558</v>
      </c>
      <c r="F57" s="3" t="s">
        <v>67</v>
      </c>
    </row>
    <row r="58" customFormat="false" ht="15" hidden="false" customHeight="true" outlineLevel="0" collapsed="false">
      <c r="A58" s="25" t="n">
        <v>0.12</v>
      </c>
      <c r="B58" s="26" t="n">
        <f aca="false">$B$19*(1-A58)</f>
        <v>1870</v>
      </c>
      <c r="C58" s="27" t="n">
        <f aca="false">($B$36+$B$44*$B$19)/B58</f>
        <v>2.32613354765978</v>
      </c>
      <c r="D58" s="27" t="n">
        <f aca="false">C58/(1-$B$51)</f>
        <v>2.38577799759978</v>
      </c>
      <c r="F58" s="3" t="s">
        <v>68</v>
      </c>
    </row>
    <row r="59" customFormat="false" ht="15" hidden="false" customHeight="true" outlineLevel="0" collapsed="false">
      <c r="A59" s="25" t="n">
        <v>0.2</v>
      </c>
      <c r="B59" s="26" t="n">
        <f aca="false">$B$19*(1-A59)</f>
        <v>1700</v>
      </c>
      <c r="C59" s="27" t="n">
        <f aca="false">($B$36+$B$44*$B$19)/B59</f>
        <v>2.55874690242576</v>
      </c>
      <c r="D59" s="27" t="n">
        <f aca="false">C59/(1-$B$51)</f>
        <v>2.62435579735976</v>
      </c>
    </row>
    <row r="60" customFormat="false" ht="15" hidden="false" customHeight="true" outlineLevel="0" collapsed="false">
      <c r="A60" s="25" t="n">
        <v>0.28</v>
      </c>
      <c r="B60" s="26" t="n">
        <f aca="false">$B$19*(1-A60)</f>
        <v>1530</v>
      </c>
      <c r="C60" s="27" t="n">
        <f aca="false">($B$36+$B$44*$B$19)/B60</f>
        <v>2.8430521138064</v>
      </c>
      <c r="D60" s="27" t="n">
        <f aca="false">C60/(1-$B$51)</f>
        <v>2.91595088595528</v>
      </c>
    </row>
    <row r="62" customFormat="false" ht="15" hidden="false" customHeight="true" outlineLevel="0" collapsed="false">
      <c r="A62" s="4" t="s">
        <v>69</v>
      </c>
      <c r="B62" s="5"/>
      <c r="C62" s="5"/>
      <c r="D62" s="5"/>
      <c r="E62" s="5"/>
    </row>
    <row r="63" customFormat="false" ht="15" hidden="false" customHeight="true" outlineLevel="0" collapsed="false">
      <c r="A63" s="18" t="s">
        <v>70</v>
      </c>
      <c r="B63" s="6" t="s">
        <v>71</v>
      </c>
    </row>
    <row r="64" customFormat="false" ht="15" hidden="false" customHeight="true" outlineLevel="0" collapsed="false">
      <c r="A64" s="18" t="s">
        <v>72</v>
      </c>
      <c r="B64" s="6" t="s">
        <v>73</v>
      </c>
    </row>
    <row r="65" customFormat="false" ht="15" hidden="false" customHeight="true" outlineLevel="0" collapsed="false">
      <c r="A65" s="18" t="s">
        <v>74</v>
      </c>
      <c r="B65" s="6" t="s">
        <v>75</v>
      </c>
    </row>
    <row r="66" customFormat="false" ht="15" hidden="false" customHeight="true" outlineLevel="0" collapsed="false">
      <c r="A66" s="18" t="s">
        <v>76</v>
      </c>
      <c r="B66" s="6" t="s">
        <v>77</v>
      </c>
    </row>
    <row r="68" customFormat="false" ht="15" hidden="false" customHeight="true" outlineLevel="0" collapsed="false">
      <c r="A68" s="4" t="s">
        <v>78</v>
      </c>
      <c r="B68" s="5"/>
      <c r="C68" s="5"/>
      <c r="D68" s="5"/>
      <c r="E68" s="5"/>
    </row>
    <row r="69" customFormat="false" ht="15" hidden="false" customHeight="true" outlineLevel="0" collapsed="false">
      <c r="A69" s="6" t="s">
        <v>79</v>
      </c>
      <c r="B69" s="28" t="n">
        <v>55</v>
      </c>
    </row>
    <row r="70" customFormat="false" ht="15" hidden="false" customHeight="true" outlineLevel="0" collapsed="false">
      <c r="A70" s="6" t="s">
        <v>80</v>
      </c>
      <c r="B70" s="8" t="n">
        <v>575</v>
      </c>
      <c r="D70" s="3" t="s">
        <v>81</v>
      </c>
    </row>
    <row r="71" customFormat="false" ht="15" hidden="false" customHeight="true" outlineLevel="0" collapsed="false">
      <c r="A71" s="6" t="s">
        <v>82</v>
      </c>
      <c r="B71" s="28" t="n">
        <v>12</v>
      </c>
    </row>
    <row r="72" customFormat="false" ht="15" hidden="false" customHeight="true" outlineLevel="0" collapsed="false">
      <c r="A72" s="6" t="s">
        <v>83</v>
      </c>
      <c r="B72" s="28" t="n">
        <v>5</v>
      </c>
    </row>
    <row r="73" customFormat="false" ht="15" hidden="false" customHeight="true" outlineLevel="0" collapsed="false">
      <c r="A73" s="6" t="s">
        <v>84</v>
      </c>
      <c r="B73" s="28" t="n">
        <v>70</v>
      </c>
    </row>
    <row r="74" customFormat="false" ht="15" hidden="false" customHeight="true" outlineLevel="0" collapsed="false">
      <c r="A74" s="18" t="s">
        <v>85</v>
      </c>
      <c r="B74" s="20" t="n">
        <f aca="false">B36/B72</f>
        <v>174.473946824759</v>
      </c>
      <c r="D74" s="3" t="s">
        <v>86</v>
      </c>
    </row>
    <row r="75" customFormat="false" ht="15" hidden="false" customHeight="true" outlineLevel="0" collapsed="false">
      <c r="A75" s="6" t="s">
        <v>87</v>
      </c>
      <c r="B75" s="14" t="n">
        <f aca="false">B70*B72</f>
        <v>2875</v>
      </c>
    </row>
    <row r="76" customFormat="false" ht="15" hidden="false" customHeight="true" outlineLevel="0" collapsed="false">
      <c r="A76" s="6" t="s">
        <v>88</v>
      </c>
      <c r="B76" s="29" t="n">
        <f aca="false">B19/B75</f>
        <v>0.739130434782609</v>
      </c>
    </row>
    <row r="77" customFormat="false" ht="15" hidden="false" customHeight="true" outlineLevel="0" collapsed="false">
      <c r="A77" s="6" t="s">
        <v>89</v>
      </c>
      <c r="B77" s="9" t="n">
        <v>250</v>
      </c>
      <c r="D77" s="3" t="s">
        <v>90</v>
      </c>
    </row>
    <row r="79" customFormat="false" ht="15" hidden="false" customHeight="true" outlineLevel="0" collapsed="false">
      <c r="A79" s="4" t="s">
        <v>91</v>
      </c>
      <c r="B79" s="5"/>
      <c r="C79" s="5"/>
      <c r="D79" s="5"/>
      <c r="E79" s="5"/>
    </row>
    <row r="80" customFormat="false" ht="15" hidden="false" customHeight="true" outlineLevel="0" collapsed="false">
      <c r="A80" s="6" t="s">
        <v>92</v>
      </c>
      <c r="B80" s="8" t="n">
        <v>150</v>
      </c>
    </row>
    <row r="81" customFormat="false" ht="15" hidden="false" customHeight="true" outlineLevel="0" collapsed="false">
      <c r="A81" s="6" t="s">
        <v>93</v>
      </c>
      <c r="B81" s="8" t="n">
        <v>450</v>
      </c>
    </row>
    <row r="82" customFormat="false" ht="15" hidden="false" customHeight="true" outlineLevel="0" collapsed="false">
      <c r="A82" s="6" t="s">
        <v>94</v>
      </c>
      <c r="B82" s="14" t="n">
        <f aca="false">B80+B81</f>
        <v>600</v>
      </c>
    </row>
    <row r="83" customFormat="false" ht="15" hidden="false" customHeight="true" outlineLevel="0" collapsed="false">
      <c r="A83" s="6" t="s">
        <v>95</v>
      </c>
      <c r="B83" s="28" t="n">
        <v>3</v>
      </c>
    </row>
    <row r="84" customFormat="false" ht="15" hidden="false" customHeight="true" outlineLevel="0" collapsed="false">
      <c r="A84" s="6" t="s">
        <v>96</v>
      </c>
      <c r="B84" s="7" t="s">
        <v>97</v>
      </c>
      <c r="D84" s="3" t="s">
        <v>98</v>
      </c>
    </row>
    <row r="85" customFormat="false" ht="15" hidden="false" customHeight="true" outlineLevel="0" collapsed="false">
      <c r="A85" s="6" t="s">
        <v>99</v>
      </c>
      <c r="B85" s="14" t="n">
        <f aca="false">B19/B72</f>
        <v>425</v>
      </c>
    </row>
    <row r="86" customFormat="false" ht="15" hidden="false" customHeight="true" outlineLevel="0" collapsed="false">
      <c r="A86" s="6" t="s">
        <v>100</v>
      </c>
      <c r="B86" s="10" t="n">
        <v>0.8</v>
      </c>
    </row>
    <row r="87" customFormat="false" ht="15" hidden="false" customHeight="true" outlineLevel="0" collapsed="false">
      <c r="A87" s="6" t="s">
        <v>101</v>
      </c>
      <c r="B87" s="14" t="n">
        <f aca="false">B85*B86</f>
        <v>340</v>
      </c>
      <c r="D87" s="3" t="s">
        <v>102</v>
      </c>
    </row>
    <row r="88" customFormat="false" ht="15" hidden="false" customHeight="true" outlineLevel="0" collapsed="false">
      <c r="A88" s="6" t="s">
        <v>103</v>
      </c>
      <c r="B88" s="8" t="n">
        <v>250</v>
      </c>
      <c r="D88" s="3" t="s">
        <v>104</v>
      </c>
    </row>
    <row r="89" customFormat="false" ht="15" hidden="false" customHeight="true" outlineLevel="0" collapsed="false">
      <c r="A89" s="6" t="s">
        <v>105</v>
      </c>
      <c r="B89" s="14" t="n">
        <f aca="false">((B81+B88)/2+75)*B72</f>
        <v>2125</v>
      </c>
    </row>
    <row r="90" customFormat="false" ht="15" hidden="false" customHeight="true" outlineLevel="0" collapsed="false">
      <c r="A90" s="6" t="s">
        <v>106</v>
      </c>
      <c r="B90" s="30" t="n">
        <f aca="false">B89-B19</f>
        <v>0</v>
      </c>
      <c r="D90" s="3" t="s">
        <v>107</v>
      </c>
    </row>
    <row r="91" customFormat="false" ht="15" hidden="false" customHeight="true" outlineLevel="0" collapsed="false">
      <c r="A91" s="6" t="s">
        <v>108</v>
      </c>
      <c r="B91" s="7" t="s">
        <v>109</v>
      </c>
      <c r="D91" s="3" t="s">
        <v>110</v>
      </c>
    </row>
    <row r="92" customFormat="false" ht="15" hidden="false" customHeight="true" outlineLevel="0" collapsed="false">
      <c r="A92" s="6" t="s">
        <v>111</v>
      </c>
      <c r="B92" s="7" t="s">
        <v>112</v>
      </c>
    </row>
    <row r="93" customFormat="false" ht="15" hidden="false" customHeight="true" outlineLevel="0" collapsed="false">
      <c r="A93" s="6" t="s">
        <v>113</v>
      </c>
      <c r="B93" s="7" t="s">
        <v>114</v>
      </c>
      <c r="D93" s="3" t="s">
        <v>115</v>
      </c>
    </row>
    <row r="94" customFormat="false" ht="15" hidden="false" customHeight="true" outlineLevel="0" collapsed="false">
      <c r="A94" s="6" t="s">
        <v>116</v>
      </c>
      <c r="B94" s="7" t="s">
        <v>117</v>
      </c>
      <c r="D94" s="3" t="s">
        <v>118</v>
      </c>
    </row>
    <row r="95" customFormat="false" ht="15" hidden="false" customHeight="true" outlineLevel="0" collapsed="false">
      <c r="A95" s="6" t="s">
        <v>119</v>
      </c>
      <c r="B95" s="7" t="s">
        <v>120</v>
      </c>
    </row>
    <row r="96" customFormat="false" ht="15" hidden="false" customHeight="true" outlineLevel="0" collapsed="false">
      <c r="A96" s="6" t="s">
        <v>121</v>
      </c>
      <c r="B96" s="7" t="s">
        <v>122</v>
      </c>
    </row>
    <row r="97" customFormat="false" ht="15" hidden="false" customHeight="true" outlineLevel="0" collapsed="false">
      <c r="A97" s="6" t="s">
        <v>123</v>
      </c>
      <c r="B97" s="7" t="s">
        <v>124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16"/>
    <col collapsed="false" customWidth="true" hidden="false" outlineLevel="0" max="4" min="3" style="1" width="22"/>
    <col collapsed="false" customWidth="true" hidden="false" outlineLevel="0" max="5" min="5" style="1" width="10"/>
    <col collapsed="false" customWidth="true" hidden="false" outlineLevel="0" max="6" min="6" style="1" width="8"/>
    <col collapsed="false" customWidth="true" hidden="false" outlineLevel="0" max="7" min="7" style="1" width="9"/>
    <col collapsed="false" customWidth="true" hidden="false" outlineLevel="0" max="8" min="8" style="1" width="11"/>
    <col collapsed="false" customWidth="true" hidden="false" outlineLevel="0" max="9" min="9" style="1" width="10"/>
    <col collapsed="false" customWidth="true" hidden="false" outlineLevel="0" max="10" min="10" style="1" width="13"/>
    <col collapsed="false" customWidth="true" hidden="false" outlineLevel="0" max="11" min="11" style="1" width="11"/>
    <col collapsed="false" customWidth="true" hidden="false" outlineLevel="0" max="12" min="12" style="1" width="12"/>
    <col collapsed="false" customWidth="true" hidden="false" outlineLevel="0" max="14" min="13" style="1" width="11"/>
    <col collapsed="false" customWidth="true" hidden="false" outlineLevel="0" max="16" min="15" style="1" width="9"/>
    <col collapsed="false" customWidth="true" hidden="false" outlineLevel="0" max="17" min="17" style="1" width="11"/>
    <col collapsed="false" customWidth="true" hidden="false" outlineLevel="0" max="18" min="18" style="1" width="12"/>
    <col collapsed="false" customWidth="true" hidden="false" outlineLevel="0" max="19" min="19" style="1" width="15"/>
    <col collapsed="false" customWidth="true" hidden="false" outlineLevel="0" max="20" min="20" style="1" width="10"/>
    <col collapsed="false" customWidth="true" hidden="false" outlineLevel="0" max="21" min="21" style="1" width="14"/>
  </cols>
  <sheetData>
    <row r="1" customFormat="false" ht="17.25" hidden="false" customHeight="true" outlineLevel="0" collapsed="false">
      <c r="A1" s="2" t="s">
        <v>125</v>
      </c>
    </row>
    <row r="2" customFormat="false" ht="15" hidden="false" customHeight="true" outlineLevel="0" collapsed="false">
      <c r="A2" s="3" t="s">
        <v>126</v>
      </c>
    </row>
    <row r="3" customFormat="false" ht="15" hidden="false" customHeight="true" outlineLevel="0" collapsed="false">
      <c r="A3" s="3" t="s">
        <v>127</v>
      </c>
    </row>
    <row r="4" customFormat="false" ht="42" hidden="false" customHeight="true" outlineLevel="0" collapsed="false">
      <c r="A4" s="31" t="s">
        <v>128</v>
      </c>
      <c r="B4" s="31" t="s">
        <v>129</v>
      </c>
      <c r="C4" s="31" t="s">
        <v>130</v>
      </c>
      <c r="D4" s="31" t="s">
        <v>131</v>
      </c>
      <c r="E4" s="31" t="s">
        <v>132</v>
      </c>
      <c r="F4" s="31" t="s">
        <v>133</v>
      </c>
      <c r="G4" s="31" t="s">
        <v>134</v>
      </c>
      <c r="H4" s="31" t="s">
        <v>135</v>
      </c>
      <c r="I4" s="31" t="s">
        <v>136</v>
      </c>
      <c r="J4" s="31" t="s">
        <v>137</v>
      </c>
      <c r="K4" s="31" t="s">
        <v>138</v>
      </c>
      <c r="L4" s="31" t="s">
        <v>139</v>
      </c>
      <c r="M4" s="31" t="s">
        <v>140</v>
      </c>
      <c r="N4" s="31" t="s">
        <v>141</v>
      </c>
      <c r="O4" s="31" t="s">
        <v>142</v>
      </c>
      <c r="P4" s="31" t="s">
        <v>143</v>
      </c>
      <c r="Q4" s="31" t="s">
        <v>144</v>
      </c>
      <c r="R4" s="31" t="s">
        <v>145</v>
      </c>
      <c r="S4" s="31" t="s">
        <v>146</v>
      </c>
      <c r="T4" s="31" t="s">
        <v>147</v>
      </c>
      <c r="U4" s="31" t="s">
        <v>148</v>
      </c>
    </row>
    <row r="5" customFormat="false" ht="15" hidden="false" customHeight="true" outlineLevel="0" collapsed="false">
      <c r="A5" s="32" t="s">
        <v>149</v>
      </c>
      <c r="B5" s="33" t="s">
        <v>150</v>
      </c>
      <c r="C5" s="34"/>
      <c r="D5" s="34"/>
      <c r="E5" s="35"/>
      <c r="F5" s="35"/>
      <c r="G5" s="26" t="str">
        <f aca="false">IF(E5="","",E5+F5)</f>
        <v/>
      </c>
      <c r="H5" s="36"/>
      <c r="I5" s="36"/>
      <c r="J5" s="36"/>
      <c r="K5" s="37" t="str">
        <f aca="false">IF(H5="","",H5+I5)</f>
        <v/>
      </c>
      <c r="L5" s="27" t="str">
        <f aca="false">IFERROR(K5/E5,"")</f>
        <v/>
      </c>
      <c r="M5" s="38"/>
      <c r="N5" s="38"/>
      <c r="O5" s="39" t="str">
        <f aca="false">IF(N5="","",MAX(1,N5-M5))</f>
        <v/>
      </c>
      <c r="P5" s="40" t="str">
        <f aca="false">IF(E5="","",IF(OR(F5&gt;'Spec Sheet'!$B$80,E5&gt;'Spec Sheet'!$B$81,E5&lt;'Spec Sheet'!$B$88),"NO","yes"))</f>
        <v/>
      </c>
      <c r="Q5" s="41"/>
      <c r="R5" s="41"/>
      <c r="S5" s="33" t="str">
        <f aca="false">IF(R5="","",IF(AND(P5="yes",R5=MAX(R$5:R$7)),"&lt;&lt;&lt; TAKES IT",""))</f>
        <v/>
      </c>
      <c r="T5" s="35"/>
      <c r="U5" s="42"/>
    </row>
    <row r="6" customFormat="false" ht="15" hidden="false" customHeight="true" outlineLevel="0" collapsed="false">
      <c r="A6" s="33"/>
      <c r="B6" s="33" t="s">
        <v>151</v>
      </c>
      <c r="C6" s="34"/>
      <c r="D6" s="34"/>
      <c r="E6" s="35"/>
      <c r="F6" s="35"/>
      <c r="G6" s="26" t="str">
        <f aca="false">IF(E6="","",E6+F6)</f>
        <v/>
      </c>
      <c r="H6" s="36"/>
      <c r="I6" s="36"/>
      <c r="J6" s="36"/>
      <c r="K6" s="37" t="str">
        <f aca="false">IF(H6="","",H6+I6)</f>
        <v/>
      </c>
      <c r="L6" s="27" t="str">
        <f aca="false">IFERROR(K6/E6,"")</f>
        <v/>
      </c>
      <c r="M6" s="38"/>
      <c r="N6" s="38"/>
      <c r="O6" s="39" t="str">
        <f aca="false">IF(N6="","",MAX(1,N6-M6))</f>
        <v/>
      </c>
      <c r="P6" s="40" t="str">
        <f aca="false">IF(E6="","",IF(OR(F6&gt;'Spec Sheet'!$B$80,E6&gt;'Spec Sheet'!$B$81,E6&lt;'Spec Sheet'!$B$88),"NO","yes"))</f>
        <v/>
      </c>
      <c r="Q6" s="41"/>
      <c r="R6" s="41"/>
      <c r="S6" s="33" t="str">
        <f aca="false">IF(R6="","",IF(AND(P6="yes",R6=MAX(R$5:R$7)),"&lt;&lt;&lt; TAKES IT",""))</f>
        <v/>
      </c>
      <c r="T6" s="43"/>
      <c r="U6" s="44"/>
    </row>
    <row r="7" customFormat="false" ht="15" hidden="false" customHeight="true" outlineLevel="0" collapsed="false">
      <c r="A7" s="33"/>
      <c r="B7" s="33" t="s">
        <v>152</v>
      </c>
      <c r="C7" s="34"/>
      <c r="D7" s="34"/>
      <c r="E7" s="35"/>
      <c r="F7" s="35"/>
      <c r="G7" s="26" t="str">
        <f aca="false">IF(E7="","",E7+F7)</f>
        <v/>
      </c>
      <c r="H7" s="36"/>
      <c r="I7" s="36"/>
      <c r="J7" s="36"/>
      <c r="K7" s="37" t="str">
        <f aca="false">IF(H7="","",H7+I7)</f>
        <v/>
      </c>
      <c r="L7" s="27" t="str">
        <f aca="false">IFERROR(K7/E7,"")</f>
        <v/>
      </c>
      <c r="M7" s="38"/>
      <c r="N7" s="38"/>
      <c r="O7" s="39" t="str">
        <f aca="false">IF(N7="","",MAX(1,N7-M7))</f>
        <v/>
      </c>
      <c r="P7" s="40" t="str">
        <f aca="false">IF(E7="","",IF(OR(F7&gt;'Spec Sheet'!$B$80,E7&gt;'Spec Sheet'!$B$81,E7&lt;'Spec Sheet'!$B$88),"NO","yes"))</f>
        <v/>
      </c>
      <c r="Q7" s="41"/>
      <c r="R7" s="41"/>
      <c r="S7" s="33" t="str">
        <f aca="false">IF(R7="","",IF(AND(P7="yes",R7=MAX(R$5:R$7)),"&lt;&lt;&lt; TAKES IT",""))</f>
        <v/>
      </c>
      <c r="T7" s="43"/>
      <c r="U7" s="44"/>
    </row>
    <row r="8" customFormat="false" ht="15" hidden="false" customHeight="true" outlineLevel="0" collapsed="false">
      <c r="A8" s="32" t="s">
        <v>153</v>
      </c>
      <c r="B8" s="33" t="s">
        <v>150</v>
      </c>
      <c r="C8" s="34"/>
      <c r="D8" s="34"/>
      <c r="E8" s="35"/>
      <c r="F8" s="35"/>
      <c r="G8" s="26" t="str">
        <f aca="false">IF(E8="","",E8+F8)</f>
        <v/>
      </c>
      <c r="H8" s="36"/>
      <c r="I8" s="36"/>
      <c r="J8" s="36"/>
      <c r="K8" s="37" t="str">
        <f aca="false">IF(H8="","",H8+I8)</f>
        <v/>
      </c>
      <c r="L8" s="27" t="str">
        <f aca="false">IFERROR(K8/E8,"")</f>
        <v/>
      </c>
      <c r="M8" s="38"/>
      <c r="N8" s="38"/>
      <c r="O8" s="39" t="str">
        <f aca="false">IF(N8="","",MAX(1,N8-M8))</f>
        <v/>
      </c>
      <c r="P8" s="40" t="str">
        <f aca="false">IF(E8="","",IF(OR(F8&gt;'Spec Sheet'!$B$80,E8&gt;'Spec Sheet'!$B$81,E8&lt;'Spec Sheet'!$B$88),"NO","yes"))</f>
        <v/>
      </c>
      <c r="Q8" s="41"/>
      <c r="R8" s="41"/>
      <c r="S8" s="33" t="str">
        <f aca="false">IF(R8="","",IF(AND(P8="yes",R8=MAX(R$8:R$10)),"&lt;&lt;&lt; TAKES IT",""))</f>
        <v/>
      </c>
      <c r="T8" s="35"/>
      <c r="U8" s="42"/>
    </row>
    <row r="9" customFormat="false" ht="15" hidden="false" customHeight="true" outlineLevel="0" collapsed="false">
      <c r="A9" s="33"/>
      <c r="B9" s="33" t="s">
        <v>151</v>
      </c>
      <c r="C9" s="34"/>
      <c r="D9" s="34"/>
      <c r="E9" s="35"/>
      <c r="F9" s="35"/>
      <c r="G9" s="26" t="str">
        <f aca="false">IF(E9="","",E9+F9)</f>
        <v/>
      </c>
      <c r="H9" s="36"/>
      <c r="I9" s="36"/>
      <c r="J9" s="36"/>
      <c r="K9" s="37" t="str">
        <f aca="false">IF(H9="","",H9+I9)</f>
        <v/>
      </c>
      <c r="L9" s="27" t="str">
        <f aca="false">IFERROR(K9/E9,"")</f>
        <v/>
      </c>
      <c r="M9" s="38"/>
      <c r="N9" s="38"/>
      <c r="O9" s="39" t="str">
        <f aca="false">IF(N9="","",MAX(1,N9-M9))</f>
        <v/>
      </c>
      <c r="P9" s="40" t="str">
        <f aca="false">IF(E9="","",IF(OR(F9&gt;'Spec Sheet'!$B$80,E9&gt;'Spec Sheet'!$B$81,E9&lt;'Spec Sheet'!$B$88),"NO","yes"))</f>
        <v/>
      </c>
      <c r="Q9" s="41"/>
      <c r="R9" s="41"/>
      <c r="S9" s="33" t="str">
        <f aca="false">IF(R9="","",IF(AND(P9="yes",R9=MAX(R$8:R$10)),"&lt;&lt;&lt; TAKES IT",""))</f>
        <v/>
      </c>
      <c r="T9" s="43"/>
      <c r="U9" s="44"/>
    </row>
    <row r="10" customFormat="false" ht="15" hidden="false" customHeight="true" outlineLevel="0" collapsed="false">
      <c r="A10" s="33"/>
      <c r="B10" s="33" t="s">
        <v>152</v>
      </c>
      <c r="C10" s="34"/>
      <c r="D10" s="34"/>
      <c r="E10" s="35"/>
      <c r="F10" s="35"/>
      <c r="G10" s="26" t="str">
        <f aca="false">IF(E10="","",E10+F10)</f>
        <v/>
      </c>
      <c r="H10" s="36"/>
      <c r="I10" s="36"/>
      <c r="J10" s="36"/>
      <c r="K10" s="37" t="str">
        <f aca="false">IF(H10="","",H10+I10)</f>
        <v/>
      </c>
      <c r="L10" s="27" t="str">
        <f aca="false">IFERROR(K10/E10,"")</f>
        <v/>
      </c>
      <c r="M10" s="38"/>
      <c r="N10" s="38"/>
      <c r="O10" s="39" t="str">
        <f aca="false">IF(N10="","",MAX(1,N10-M10))</f>
        <v/>
      </c>
      <c r="P10" s="40" t="str">
        <f aca="false">IF(E10="","",IF(OR(F10&gt;'Spec Sheet'!$B$80,E10&gt;'Spec Sheet'!$B$81,E10&lt;'Spec Sheet'!$B$88),"NO","yes"))</f>
        <v/>
      </c>
      <c r="Q10" s="41"/>
      <c r="R10" s="41"/>
      <c r="S10" s="33" t="str">
        <f aca="false">IF(R10="","",IF(AND(P10="yes",R10=MAX(R$8:R$10)),"&lt;&lt;&lt; TAKES IT",""))</f>
        <v/>
      </c>
      <c r="T10" s="43"/>
      <c r="U10" s="44"/>
    </row>
    <row r="11" customFormat="false" ht="15" hidden="false" customHeight="true" outlineLevel="0" collapsed="false">
      <c r="A11" s="32" t="s">
        <v>154</v>
      </c>
      <c r="B11" s="33" t="s">
        <v>150</v>
      </c>
      <c r="C11" s="34"/>
      <c r="D11" s="34"/>
      <c r="E11" s="35"/>
      <c r="F11" s="35"/>
      <c r="G11" s="26" t="str">
        <f aca="false">IF(E11="","",E11+F11)</f>
        <v/>
      </c>
      <c r="H11" s="36"/>
      <c r="I11" s="36"/>
      <c r="J11" s="36"/>
      <c r="K11" s="37" t="str">
        <f aca="false">IF(H11="","",H11+I11)</f>
        <v/>
      </c>
      <c r="L11" s="27" t="str">
        <f aca="false">IFERROR(K11/E11,"")</f>
        <v/>
      </c>
      <c r="M11" s="38"/>
      <c r="N11" s="38"/>
      <c r="O11" s="39" t="str">
        <f aca="false">IF(N11="","",MAX(1,N11-M11))</f>
        <v/>
      </c>
      <c r="P11" s="40" t="str">
        <f aca="false">IF(E11="","",IF(OR(F11&gt;'Spec Sheet'!$B$80,E11&gt;'Spec Sheet'!$B$81,E11&lt;'Spec Sheet'!$B$88),"NO","yes"))</f>
        <v/>
      </c>
      <c r="Q11" s="41"/>
      <c r="R11" s="41"/>
      <c r="S11" s="33" t="str">
        <f aca="false">IF(R11="","",IF(AND(P11="yes",R11=MAX(R$11:R$13)),"&lt;&lt;&lt; TAKES IT",""))</f>
        <v/>
      </c>
      <c r="T11" s="35"/>
      <c r="U11" s="42"/>
    </row>
    <row r="12" customFormat="false" ht="15" hidden="false" customHeight="true" outlineLevel="0" collapsed="false">
      <c r="A12" s="33"/>
      <c r="B12" s="33" t="s">
        <v>151</v>
      </c>
      <c r="C12" s="34"/>
      <c r="D12" s="34"/>
      <c r="E12" s="35"/>
      <c r="F12" s="35"/>
      <c r="G12" s="26" t="str">
        <f aca="false">IF(E12="","",E12+F12)</f>
        <v/>
      </c>
      <c r="H12" s="36"/>
      <c r="I12" s="36"/>
      <c r="J12" s="36"/>
      <c r="K12" s="37" t="str">
        <f aca="false">IF(H12="","",H12+I12)</f>
        <v/>
      </c>
      <c r="L12" s="27" t="str">
        <f aca="false">IFERROR(K12/E12,"")</f>
        <v/>
      </c>
      <c r="M12" s="38"/>
      <c r="N12" s="38"/>
      <c r="O12" s="39" t="str">
        <f aca="false">IF(N12="","",MAX(1,N12-M12))</f>
        <v/>
      </c>
      <c r="P12" s="40" t="str">
        <f aca="false">IF(E12="","",IF(OR(F12&gt;'Spec Sheet'!$B$80,E12&gt;'Spec Sheet'!$B$81,E12&lt;'Spec Sheet'!$B$88),"NO","yes"))</f>
        <v/>
      </c>
      <c r="Q12" s="41"/>
      <c r="R12" s="41"/>
      <c r="S12" s="33" t="str">
        <f aca="false">IF(R12="","",IF(AND(P12="yes",R12=MAX(R$11:R$13)),"&lt;&lt;&lt; TAKES IT",""))</f>
        <v/>
      </c>
      <c r="T12" s="43"/>
      <c r="U12" s="44"/>
    </row>
    <row r="13" customFormat="false" ht="15" hidden="false" customHeight="true" outlineLevel="0" collapsed="false">
      <c r="A13" s="33"/>
      <c r="B13" s="33" t="s">
        <v>152</v>
      </c>
      <c r="C13" s="34"/>
      <c r="D13" s="34"/>
      <c r="E13" s="35"/>
      <c r="F13" s="35"/>
      <c r="G13" s="26" t="str">
        <f aca="false">IF(E13="","",E13+F13)</f>
        <v/>
      </c>
      <c r="H13" s="36"/>
      <c r="I13" s="36"/>
      <c r="J13" s="36"/>
      <c r="K13" s="37" t="str">
        <f aca="false">IF(H13="","",H13+I13)</f>
        <v/>
      </c>
      <c r="L13" s="27" t="str">
        <f aca="false">IFERROR(K13/E13,"")</f>
        <v/>
      </c>
      <c r="M13" s="38"/>
      <c r="N13" s="38"/>
      <c r="O13" s="39" t="str">
        <f aca="false">IF(N13="","",MAX(1,N13-M13))</f>
        <v/>
      </c>
      <c r="P13" s="40" t="str">
        <f aca="false">IF(E13="","",IF(OR(F13&gt;'Spec Sheet'!$B$80,E13&gt;'Spec Sheet'!$B$81,E13&lt;'Spec Sheet'!$B$88),"NO","yes"))</f>
        <v/>
      </c>
      <c r="Q13" s="41"/>
      <c r="R13" s="41"/>
      <c r="S13" s="33" t="str">
        <f aca="false">IF(R13="","",IF(AND(P13="yes",R13=MAX(R$11:R$13)),"&lt;&lt;&lt; TAKES IT",""))</f>
        <v/>
      </c>
      <c r="T13" s="43"/>
      <c r="U13" s="44"/>
    </row>
    <row r="14" customFormat="false" ht="15" hidden="false" customHeight="true" outlineLevel="0" collapsed="false">
      <c r="A14" s="32" t="s">
        <v>155</v>
      </c>
      <c r="B14" s="33" t="s">
        <v>150</v>
      </c>
      <c r="C14" s="34"/>
      <c r="D14" s="34"/>
      <c r="E14" s="35"/>
      <c r="F14" s="35"/>
      <c r="G14" s="26" t="str">
        <f aca="false">IF(E14="","",E14+F14)</f>
        <v/>
      </c>
      <c r="H14" s="36"/>
      <c r="I14" s="36"/>
      <c r="J14" s="36"/>
      <c r="K14" s="37" t="str">
        <f aca="false">IF(H14="","",H14+I14)</f>
        <v/>
      </c>
      <c r="L14" s="27" t="str">
        <f aca="false">IFERROR(K14/E14,"")</f>
        <v/>
      </c>
      <c r="M14" s="38"/>
      <c r="N14" s="38"/>
      <c r="O14" s="39" t="str">
        <f aca="false">IF(N14="","",MAX(1,N14-M14))</f>
        <v/>
      </c>
      <c r="P14" s="40" t="str">
        <f aca="false">IF(E14="","",IF(OR(F14&gt;'Spec Sheet'!$B$80,E14&gt;'Spec Sheet'!$B$81,E14&lt;'Spec Sheet'!$B$88),"NO","yes"))</f>
        <v/>
      </c>
      <c r="Q14" s="41"/>
      <c r="R14" s="41"/>
      <c r="S14" s="33" t="str">
        <f aca="false">IF(R14="","",IF(AND(P14="yes",R14=MAX(R$14:R$16)),"&lt;&lt;&lt; TAKES IT",""))</f>
        <v/>
      </c>
      <c r="T14" s="35"/>
      <c r="U14" s="42"/>
    </row>
    <row r="15" customFormat="false" ht="15" hidden="false" customHeight="true" outlineLevel="0" collapsed="false">
      <c r="A15" s="33"/>
      <c r="B15" s="33" t="s">
        <v>151</v>
      </c>
      <c r="C15" s="34"/>
      <c r="D15" s="34"/>
      <c r="E15" s="35"/>
      <c r="F15" s="35"/>
      <c r="G15" s="26" t="str">
        <f aca="false">IF(E15="","",E15+F15)</f>
        <v/>
      </c>
      <c r="H15" s="36"/>
      <c r="I15" s="36"/>
      <c r="J15" s="36"/>
      <c r="K15" s="37" t="str">
        <f aca="false">IF(H15="","",H15+I15)</f>
        <v/>
      </c>
      <c r="L15" s="27" t="str">
        <f aca="false">IFERROR(K15/E15,"")</f>
        <v/>
      </c>
      <c r="M15" s="38"/>
      <c r="N15" s="38"/>
      <c r="O15" s="39" t="str">
        <f aca="false">IF(N15="","",MAX(1,N15-M15))</f>
        <v/>
      </c>
      <c r="P15" s="40" t="str">
        <f aca="false">IF(E15="","",IF(OR(F15&gt;'Spec Sheet'!$B$80,E15&gt;'Spec Sheet'!$B$81,E15&lt;'Spec Sheet'!$B$88),"NO","yes"))</f>
        <v/>
      </c>
      <c r="Q15" s="41"/>
      <c r="R15" s="41"/>
      <c r="S15" s="33" t="str">
        <f aca="false">IF(R15="","",IF(AND(P15="yes",R15=MAX(R$14:R$16)),"&lt;&lt;&lt; TAKES IT",""))</f>
        <v/>
      </c>
      <c r="T15" s="43"/>
      <c r="U15" s="44"/>
    </row>
    <row r="16" customFormat="false" ht="15" hidden="false" customHeight="true" outlineLevel="0" collapsed="false">
      <c r="A16" s="33"/>
      <c r="B16" s="33" t="s">
        <v>152</v>
      </c>
      <c r="C16" s="34"/>
      <c r="D16" s="34"/>
      <c r="E16" s="35"/>
      <c r="F16" s="35"/>
      <c r="G16" s="26" t="str">
        <f aca="false">IF(E16="","",E16+F16)</f>
        <v/>
      </c>
      <c r="H16" s="36"/>
      <c r="I16" s="36"/>
      <c r="J16" s="36"/>
      <c r="K16" s="37" t="str">
        <f aca="false">IF(H16="","",H16+I16)</f>
        <v/>
      </c>
      <c r="L16" s="27" t="str">
        <f aca="false">IFERROR(K16/E16,"")</f>
        <v/>
      </c>
      <c r="M16" s="38"/>
      <c r="N16" s="38"/>
      <c r="O16" s="39" t="str">
        <f aca="false">IF(N16="","",MAX(1,N16-M16))</f>
        <v/>
      </c>
      <c r="P16" s="40" t="str">
        <f aca="false">IF(E16="","",IF(OR(F16&gt;'Spec Sheet'!$B$80,E16&gt;'Spec Sheet'!$B$81,E16&lt;'Spec Sheet'!$B$88),"NO","yes"))</f>
        <v/>
      </c>
      <c r="Q16" s="41"/>
      <c r="R16" s="41"/>
      <c r="S16" s="33" t="str">
        <f aca="false">IF(R16="","",IF(AND(P16="yes",R16=MAX(R$14:R$16)),"&lt;&lt;&lt; TAKES IT",""))</f>
        <v/>
      </c>
      <c r="T16" s="43"/>
      <c r="U16" s="44"/>
    </row>
    <row r="17" customFormat="false" ht="15" hidden="false" customHeight="true" outlineLevel="0" collapsed="false">
      <c r="A17" s="32" t="s">
        <v>156</v>
      </c>
      <c r="B17" s="33" t="s">
        <v>150</v>
      </c>
      <c r="C17" s="34"/>
      <c r="D17" s="34"/>
      <c r="E17" s="35"/>
      <c r="F17" s="35"/>
      <c r="G17" s="26" t="str">
        <f aca="false">IF(E17="","",E17+F17)</f>
        <v/>
      </c>
      <c r="H17" s="36"/>
      <c r="I17" s="36"/>
      <c r="J17" s="36"/>
      <c r="K17" s="37" t="str">
        <f aca="false">IF(H17="","",H17+I17)</f>
        <v/>
      </c>
      <c r="L17" s="27" t="str">
        <f aca="false">IFERROR(K17/E17,"")</f>
        <v/>
      </c>
      <c r="M17" s="38"/>
      <c r="N17" s="38"/>
      <c r="O17" s="39" t="str">
        <f aca="false">IF(N17="","",MAX(1,N17-M17))</f>
        <v/>
      </c>
      <c r="P17" s="40" t="str">
        <f aca="false">IF(E17="","",IF(OR(F17&gt;'Spec Sheet'!$B$80,E17&gt;'Spec Sheet'!$B$81,E17&lt;'Spec Sheet'!$B$88),"NO","yes"))</f>
        <v/>
      </c>
      <c r="Q17" s="41"/>
      <c r="R17" s="41"/>
      <c r="S17" s="33" t="str">
        <f aca="false">IF(R17="","",IF(AND(P17="yes",R17=MAX(R$17:R$19)),"&lt;&lt;&lt; TAKES IT",""))</f>
        <v/>
      </c>
      <c r="T17" s="35"/>
      <c r="U17" s="42"/>
    </row>
    <row r="18" customFormat="false" ht="15" hidden="false" customHeight="true" outlineLevel="0" collapsed="false">
      <c r="A18" s="33"/>
      <c r="B18" s="33" t="s">
        <v>151</v>
      </c>
      <c r="C18" s="34"/>
      <c r="D18" s="34"/>
      <c r="E18" s="35"/>
      <c r="F18" s="35"/>
      <c r="G18" s="26" t="str">
        <f aca="false">IF(E18="","",E18+F18)</f>
        <v/>
      </c>
      <c r="H18" s="36"/>
      <c r="I18" s="36"/>
      <c r="J18" s="36"/>
      <c r="K18" s="37" t="str">
        <f aca="false">IF(H18="","",H18+I18)</f>
        <v/>
      </c>
      <c r="L18" s="27" t="str">
        <f aca="false">IFERROR(K18/E18,"")</f>
        <v/>
      </c>
      <c r="M18" s="38"/>
      <c r="N18" s="38"/>
      <c r="O18" s="39" t="str">
        <f aca="false">IF(N18="","",MAX(1,N18-M18))</f>
        <v/>
      </c>
      <c r="P18" s="40" t="str">
        <f aca="false">IF(E18="","",IF(OR(F18&gt;'Spec Sheet'!$B$80,E18&gt;'Spec Sheet'!$B$81,E18&lt;'Spec Sheet'!$B$88),"NO","yes"))</f>
        <v/>
      </c>
      <c r="Q18" s="41"/>
      <c r="R18" s="41"/>
      <c r="S18" s="33" t="str">
        <f aca="false">IF(R18="","",IF(AND(P18="yes",R18=MAX(R$17:R$19)),"&lt;&lt;&lt; TAKES IT",""))</f>
        <v/>
      </c>
      <c r="T18" s="43"/>
      <c r="U18" s="44"/>
    </row>
    <row r="19" customFormat="false" ht="15" hidden="false" customHeight="true" outlineLevel="0" collapsed="false">
      <c r="A19" s="33"/>
      <c r="B19" s="33" t="s">
        <v>152</v>
      </c>
      <c r="C19" s="34"/>
      <c r="D19" s="34"/>
      <c r="E19" s="35"/>
      <c r="F19" s="35"/>
      <c r="G19" s="26" t="str">
        <f aca="false">IF(E19="","",E19+F19)</f>
        <v/>
      </c>
      <c r="H19" s="36"/>
      <c r="I19" s="36"/>
      <c r="J19" s="36"/>
      <c r="K19" s="37" t="str">
        <f aca="false">IF(H19="","",H19+I19)</f>
        <v/>
      </c>
      <c r="L19" s="27" t="str">
        <f aca="false">IFERROR(K19/E19,"")</f>
        <v/>
      </c>
      <c r="M19" s="38"/>
      <c r="N19" s="38"/>
      <c r="O19" s="39" t="str">
        <f aca="false">IF(N19="","",MAX(1,N19-M19))</f>
        <v/>
      </c>
      <c r="P19" s="40" t="str">
        <f aca="false">IF(E19="","",IF(OR(F19&gt;'Spec Sheet'!$B$80,E19&gt;'Spec Sheet'!$B$81,E19&lt;'Spec Sheet'!$B$88),"NO","yes"))</f>
        <v/>
      </c>
      <c r="Q19" s="41"/>
      <c r="R19" s="41"/>
      <c r="S19" s="33" t="str">
        <f aca="false">IF(R19="","",IF(AND(P19="yes",R19=MAX(R$17:R$19)),"&lt;&lt;&lt; TAKES IT",""))</f>
        <v/>
      </c>
      <c r="T19" s="43"/>
      <c r="U19" s="44"/>
    </row>
    <row r="21" customFormat="false" ht="15" hidden="false" customHeight="true" outlineLevel="0" collapsed="false">
      <c r="A21" s="4" t="s">
        <v>157</v>
      </c>
      <c r="B21" s="5"/>
      <c r="C21" s="5"/>
      <c r="D21" s="5"/>
      <c r="E21" s="5"/>
    </row>
    <row r="22" customFormat="false" ht="15" hidden="false" customHeight="true" outlineLevel="0" collapsed="false">
      <c r="A22" s="6" t="s">
        <v>158</v>
      </c>
      <c r="F22" s="7" t="s">
        <v>159</v>
      </c>
    </row>
    <row r="23" customFormat="false" ht="15" hidden="false" customHeight="true" outlineLevel="0" collapsed="false">
      <c r="A23" s="6" t="s">
        <v>160</v>
      </c>
      <c r="F23" s="7" t="s">
        <v>159</v>
      </c>
    </row>
    <row r="24" customFormat="false" ht="15" hidden="false" customHeight="true" outlineLevel="0" collapsed="false">
      <c r="A24" s="6" t="s">
        <v>161</v>
      </c>
      <c r="F24" s="7" t="s">
        <v>159</v>
      </c>
    </row>
    <row r="25" customFormat="false" ht="15" hidden="false" customHeight="true" outlineLevel="0" collapsed="false">
      <c r="A25" s="6" t="s">
        <v>162</v>
      </c>
      <c r="F25" s="7" t="s">
        <v>159</v>
      </c>
    </row>
    <row r="26" customFormat="false" ht="15" hidden="false" customHeight="true" outlineLevel="0" collapsed="false">
      <c r="A26" s="6" t="s">
        <v>163</v>
      </c>
      <c r="F26" s="7" t="s">
        <v>159</v>
      </c>
    </row>
    <row r="27" customFormat="false" ht="15" hidden="false" customHeight="true" outlineLevel="0" collapsed="false">
      <c r="A27" s="6" t="s">
        <v>164</v>
      </c>
      <c r="F27" s="7" t="s">
        <v>159</v>
      </c>
    </row>
    <row r="28" customFormat="false" ht="15" hidden="false" customHeight="true" outlineLevel="0" collapsed="false">
      <c r="A28" s="6" t="s">
        <v>165</v>
      </c>
      <c r="F28" s="7" t="s">
        <v>159</v>
      </c>
    </row>
    <row r="29" customFormat="false" ht="15" hidden="false" customHeight="true" outlineLevel="0" collapsed="false">
      <c r="A29" s="6" t="s">
        <v>166</v>
      </c>
      <c r="F29" s="7" t="s">
        <v>159</v>
      </c>
    </row>
    <row r="31" customFormat="false" ht="15" hidden="false" customHeight="true" outlineLevel="0" collapsed="false">
      <c r="A31" s="3" t="s">
        <v>167</v>
      </c>
    </row>
    <row r="32" customFormat="false" ht="15" hidden="false" customHeight="true" outlineLevel="0" collapsed="false">
      <c r="A32" s="3" t="s">
        <v>168</v>
      </c>
    </row>
    <row r="33" customFormat="false" ht="15" hidden="false" customHeight="true" outlineLevel="0" collapsed="false">
      <c r="A33" s="3" t="s">
        <v>169</v>
      </c>
    </row>
    <row r="35" customFormat="false" ht="15" hidden="false" customHeight="true" outlineLevel="0" collapsed="false">
      <c r="A35" s="4" t="s">
        <v>170</v>
      </c>
      <c r="B35" s="5"/>
      <c r="C35" s="5"/>
      <c r="D35" s="5"/>
      <c r="E35" s="5"/>
    </row>
    <row r="36" customFormat="false" ht="15" hidden="false" customHeight="true" outlineLevel="0" collapsed="false">
      <c r="A36" s="33" t="s">
        <v>128</v>
      </c>
      <c r="B36" s="33" t="s">
        <v>171</v>
      </c>
      <c r="C36" s="33" t="s">
        <v>172</v>
      </c>
    </row>
    <row r="37" customFormat="false" ht="15" hidden="false" customHeight="true" outlineLevel="0" collapsed="false">
      <c r="A37" s="33" t="s">
        <v>149</v>
      </c>
      <c r="B37" s="40" t="str">
        <f aca="false">IFERROR(INDEX($B$5:$B$7,MATCH("&lt;&lt;&lt; TAKES IT",$S$5:$S$7,0)),"")</f>
        <v/>
      </c>
      <c r="C37" s="37" t="n">
        <f aca="false">IFERROR(MAX($R$5:$R$7),"")</f>
        <v>0</v>
      </c>
    </row>
    <row r="38" customFormat="false" ht="15" hidden="false" customHeight="true" outlineLevel="0" collapsed="false">
      <c r="A38" s="33" t="s">
        <v>153</v>
      </c>
      <c r="B38" s="40" t="str">
        <f aca="false">IFERROR(INDEX($B$8:$B$10,MATCH("&lt;&lt;&lt; TAKES IT",$S$8:$S$10,0)),"")</f>
        <v/>
      </c>
      <c r="C38" s="37" t="n">
        <f aca="false">IFERROR(MAX($R$8:$R$10),"")</f>
        <v>0</v>
      </c>
    </row>
    <row r="39" customFormat="false" ht="15" hidden="false" customHeight="true" outlineLevel="0" collapsed="false">
      <c r="A39" s="33" t="s">
        <v>154</v>
      </c>
      <c r="B39" s="40" t="str">
        <f aca="false">IFERROR(INDEX($B$11:$B$13,MATCH("&lt;&lt;&lt; TAKES IT",$S$11:$S$13,0)),"")</f>
        <v/>
      </c>
      <c r="C39" s="37" t="n">
        <f aca="false">IFERROR(MAX($R$11:$R$13),"")</f>
        <v>0</v>
      </c>
    </row>
    <row r="40" customFormat="false" ht="15" hidden="false" customHeight="true" outlineLevel="0" collapsed="false">
      <c r="A40" s="33" t="s">
        <v>155</v>
      </c>
      <c r="B40" s="40" t="str">
        <f aca="false">IFERROR(INDEX($B$14:$B$16,MATCH("&lt;&lt;&lt; TAKES IT",$S$14:$S$16,0)),"")</f>
        <v/>
      </c>
      <c r="C40" s="37" t="n">
        <f aca="false">IFERROR(MAX($R$14:$R$16),"")</f>
        <v>0</v>
      </c>
    </row>
    <row r="41" customFormat="false" ht="15" hidden="false" customHeight="true" outlineLevel="0" collapsed="false">
      <c r="A41" s="33" t="s">
        <v>156</v>
      </c>
      <c r="B41" s="40" t="str">
        <f aca="false">IFERROR(INDEX($B$17:$B$19,MATCH("&lt;&lt;&lt; TAKES IT",$S$17:$S$19,0)),"")</f>
        <v/>
      </c>
      <c r="C41" s="37" t="n">
        <f aca="false">IFERROR(MAX($R$17:$R$19),"")</f>
        <v>0</v>
      </c>
    </row>
    <row r="43" customFormat="false" ht="15" hidden="false" customHeight="true" outlineLevel="0" collapsed="false">
      <c r="A43" s="18" t="s">
        <v>173</v>
      </c>
    </row>
    <row r="44" customFormat="false" ht="15" hidden="false" customHeight="true" outlineLevel="0" collapsed="false">
      <c r="A44" s="18" t="s">
        <v>150</v>
      </c>
      <c r="B44" s="6" t="n">
        <f aca="false">COUNTIF($B$37:$B$41,"A - Rate Chaser")</f>
        <v>0</v>
      </c>
      <c r="C44" s="3" t="s">
        <v>174</v>
      </c>
    </row>
    <row r="45" customFormat="false" ht="15" hidden="false" customHeight="true" outlineLevel="0" collapsed="false">
      <c r="A45" s="18" t="s">
        <v>151</v>
      </c>
      <c r="B45" s="6" t="n">
        <f aca="false">COUNTIF($B$37:$B$41,"B - Big Check")</f>
        <v>0</v>
      </c>
      <c r="C45" s="3" t="s">
        <v>174</v>
      </c>
    </row>
    <row r="46" customFormat="false" ht="15" hidden="false" customHeight="true" outlineLevel="0" collapsed="false">
      <c r="A46" s="18" t="s">
        <v>152</v>
      </c>
      <c r="B46" s="6" t="n">
        <f aca="false">COUNTIF($B$37:$B$41,"C - Close One")</f>
        <v>0</v>
      </c>
      <c r="C46" s="3" t="s">
        <v>174</v>
      </c>
    </row>
    <row r="48" customFormat="false" ht="15" hidden="false" customHeight="true" outlineLevel="0" collapsed="false">
      <c r="A48" s="3" t="s">
        <v>175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3" min="2" style="1" width="22"/>
    <col collapsed="false" customWidth="true" hidden="false" outlineLevel="0" max="4" min="4" style="1" width="12"/>
    <col collapsed="false" customWidth="true" hidden="false" outlineLevel="0" max="5" min="5" style="1" width="10"/>
    <col collapsed="false" customWidth="true" hidden="false" outlineLevel="0" max="6" min="6" style="1" width="11"/>
    <col collapsed="false" customWidth="true" hidden="false" outlineLevel="0" max="7" min="7" style="1" width="13"/>
    <col collapsed="false" customWidth="true" hidden="false" outlineLevel="0" max="8" min="8" style="1" width="11"/>
    <col collapsed="false" customWidth="true" hidden="false" outlineLevel="0" max="9" min="9" style="1" width="15"/>
    <col collapsed="false" customWidth="true" hidden="false" outlineLevel="0" max="10" min="10" style="1" width="14"/>
    <col collapsed="false" customWidth="true" hidden="false" outlineLevel="0" max="11" min="11" style="1" width="15"/>
  </cols>
  <sheetData>
    <row r="1" customFormat="false" ht="17.25" hidden="false" customHeight="true" outlineLevel="0" collapsed="false">
      <c r="A1" s="2" t="s">
        <v>176</v>
      </c>
    </row>
    <row r="2" customFormat="false" ht="15" hidden="false" customHeight="true" outlineLevel="0" collapsed="false">
      <c r="A2" s="18" t="s">
        <v>177</v>
      </c>
      <c r="B2" s="7" t="s">
        <v>178</v>
      </c>
    </row>
    <row r="3" customFormat="false" ht="15" hidden="false" customHeight="true" outlineLevel="0" collapsed="false">
      <c r="A3" s="3" t="s">
        <v>179</v>
      </c>
    </row>
    <row r="5" customFormat="false" ht="23.25" hidden="false" customHeight="true" outlineLevel="0" collapsed="false">
      <c r="A5" s="45" t="s">
        <v>128</v>
      </c>
      <c r="B5" s="45" t="s">
        <v>130</v>
      </c>
      <c r="C5" s="45" t="s">
        <v>131</v>
      </c>
      <c r="D5" s="45" t="s">
        <v>132</v>
      </c>
      <c r="E5" s="45" t="s">
        <v>133</v>
      </c>
      <c r="F5" s="45" t="s">
        <v>134</v>
      </c>
      <c r="G5" s="45" t="s">
        <v>135</v>
      </c>
      <c r="H5" s="45" t="s">
        <v>180</v>
      </c>
      <c r="I5" s="45" t="s">
        <v>181</v>
      </c>
      <c r="J5" s="45" t="s">
        <v>138</v>
      </c>
      <c r="K5" s="45" t="s">
        <v>182</v>
      </c>
    </row>
    <row r="6" customFormat="false" ht="15" hidden="false" customHeight="true" outlineLevel="0" collapsed="false">
      <c r="A6" s="33" t="s">
        <v>183</v>
      </c>
      <c r="B6" s="34" t="s">
        <v>184</v>
      </c>
      <c r="C6" s="34" t="s">
        <v>185</v>
      </c>
      <c r="D6" s="35" t="n">
        <v>668</v>
      </c>
      <c r="E6" s="35" t="n">
        <v>141</v>
      </c>
      <c r="F6" s="26" t="n">
        <f aca="false">D6+E6</f>
        <v>809</v>
      </c>
      <c r="G6" s="36" t="n">
        <v>1480</v>
      </c>
      <c r="H6" s="36" t="n">
        <v>210</v>
      </c>
      <c r="I6" s="36" t="n">
        <v>0</v>
      </c>
      <c r="J6" s="37" t="n">
        <f aca="false">G6+H6+I6</f>
        <v>1690</v>
      </c>
      <c r="K6" s="27" t="n">
        <f aca="false">IFERROR(J6/D6,0)</f>
        <v>2.52994011976048</v>
      </c>
    </row>
    <row r="7" customFormat="false" ht="15" hidden="false" customHeight="true" outlineLevel="0" collapsed="false">
      <c r="A7" s="33" t="s">
        <v>186</v>
      </c>
      <c r="B7" s="34" t="s">
        <v>185</v>
      </c>
      <c r="C7" s="34" t="s">
        <v>187</v>
      </c>
      <c r="D7" s="35" t="n">
        <v>245</v>
      </c>
      <c r="E7" s="35" t="n">
        <v>38</v>
      </c>
      <c r="F7" s="26" t="n">
        <f aca="false">D7+E7</f>
        <v>283</v>
      </c>
      <c r="G7" s="36" t="n">
        <v>490</v>
      </c>
      <c r="H7" s="36" t="n">
        <v>74</v>
      </c>
      <c r="I7" s="36" t="n">
        <v>0</v>
      </c>
      <c r="J7" s="37" t="n">
        <f aca="false">G7+H7+I7</f>
        <v>564</v>
      </c>
      <c r="K7" s="27" t="n">
        <f aca="false">IFERROR(J7/D7,0)</f>
        <v>2.30204081632653</v>
      </c>
    </row>
    <row r="8" customFormat="false" ht="15" hidden="false" customHeight="true" outlineLevel="0" collapsed="false">
      <c r="A8" s="33" t="s">
        <v>188</v>
      </c>
      <c r="B8" s="34" t="s">
        <v>187</v>
      </c>
      <c r="C8" s="34" t="s">
        <v>189</v>
      </c>
      <c r="D8" s="35" t="n">
        <v>428</v>
      </c>
      <c r="E8" s="35" t="n">
        <v>112</v>
      </c>
      <c r="F8" s="26" t="n">
        <f aca="false">D8+E8</f>
        <v>540</v>
      </c>
      <c r="G8" s="36" t="n">
        <v>880</v>
      </c>
      <c r="H8" s="36" t="n">
        <v>132</v>
      </c>
      <c r="I8" s="36" t="n">
        <v>150</v>
      </c>
      <c r="J8" s="37" t="n">
        <f aca="false">G8+H8+I8</f>
        <v>1162</v>
      </c>
      <c r="K8" s="27" t="n">
        <f aca="false">IFERROR(J8/D8,0)</f>
        <v>2.71495327102804</v>
      </c>
    </row>
    <row r="9" customFormat="false" ht="15" hidden="false" customHeight="true" outlineLevel="0" collapsed="false">
      <c r="A9" s="33" t="s">
        <v>190</v>
      </c>
      <c r="B9" s="34" t="s">
        <v>189</v>
      </c>
      <c r="C9" s="34" t="s">
        <v>191</v>
      </c>
      <c r="D9" s="35" t="n">
        <v>185</v>
      </c>
      <c r="E9" s="35" t="n">
        <v>22</v>
      </c>
      <c r="F9" s="26" t="n">
        <f aca="false">D9+E9</f>
        <v>207</v>
      </c>
      <c r="G9" s="36" t="n">
        <v>330</v>
      </c>
      <c r="H9" s="36" t="n">
        <v>57</v>
      </c>
      <c r="I9" s="36" t="n">
        <v>0</v>
      </c>
      <c r="J9" s="37" t="n">
        <f aca="false">G9+H9+I9</f>
        <v>387</v>
      </c>
      <c r="K9" s="27" t="n">
        <f aca="false">IFERROR(J9/D9,0)</f>
        <v>2.09189189189189</v>
      </c>
    </row>
    <row r="10" customFormat="false" ht="15" hidden="false" customHeight="true" outlineLevel="0" collapsed="false">
      <c r="A10" s="33" t="s">
        <v>192</v>
      </c>
      <c r="B10" s="34" t="s">
        <v>191</v>
      </c>
      <c r="C10" s="34" t="s">
        <v>184</v>
      </c>
      <c r="D10" s="35" t="n">
        <v>205</v>
      </c>
      <c r="E10" s="35" t="n">
        <v>15</v>
      </c>
      <c r="F10" s="26" t="n">
        <f aca="false">D10+E10</f>
        <v>220</v>
      </c>
      <c r="G10" s="36" t="n">
        <v>270</v>
      </c>
      <c r="H10" s="36" t="n">
        <v>63</v>
      </c>
      <c r="I10" s="36" t="n">
        <v>0</v>
      </c>
      <c r="J10" s="37" t="n">
        <f aca="false">G10+H10+I10</f>
        <v>333</v>
      </c>
      <c r="K10" s="27" t="n">
        <f aca="false">IFERROR(J10/D10,0)</f>
        <v>1.62439024390244</v>
      </c>
    </row>
    <row r="11" customFormat="false" ht="15" hidden="false" customHeight="true" outlineLevel="0" collapsed="false">
      <c r="A11" s="33" t="s">
        <v>193</v>
      </c>
      <c r="B11" s="46"/>
      <c r="C11" s="46"/>
      <c r="D11" s="47" t="n">
        <f aca="false">SUM(D6:D10)</f>
        <v>1731</v>
      </c>
      <c r="E11" s="47" t="n">
        <f aca="false">SUM(E6:E10)</f>
        <v>328</v>
      </c>
      <c r="F11" s="47" t="n">
        <f aca="false">SUM(F6:F10)</f>
        <v>2059</v>
      </c>
      <c r="G11" s="48" t="n">
        <f aca="false">SUM(G6:G10)</f>
        <v>3450</v>
      </c>
      <c r="H11" s="48" t="n">
        <f aca="false">SUM(H6:H10)</f>
        <v>536</v>
      </c>
      <c r="I11" s="48" t="n">
        <f aca="false">SUM(I6:I10)</f>
        <v>150</v>
      </c>
      <c r="J11" s="48" t="n">
        <f aca="false">SUM(J6:J10)</f>
        <v>4136</v>
      </c>
      <c r="K11" s="49" t="n">
        <f aca="false">IFERROR(J11/D11,0)</f>
        <v>2.3893703061814</v>
      </c>
    </row>
    <row r="13" customFormat="false" ht="15" hidden="false" customHeight="true" outlineLevel="0" collapsed="false">
      <c r="A13" s="4" t="s">
        <v>194</v>
      </c>
      <c r="B13" s="5"/>
      <c r="C13" s="5"/>
      <c r="D13" s="5"/>
    </row>
    <row r="14" customFormat="false" ht="15" hidden="false" customHeight="true" outlineLevel="0" collapsed="false">
      <c r="A14" s="18" t="s">
        <v>195</v>
      </c>
      <c r="B14" s="19" t="n">
        <f aca="false">J11</f>
        <v>4136</v>
      </c>
    </row>
    <row r="15" customFormat="false" ht="15" hidden="false" customHeight="true" outlineLevel="0" collapsed="false">
      <c r="A15" s="6" t="s">
        <v>43</v>
      </c>
      <c r="B15" s="11" t="n">
        <f aca="false">-'Spec Sheet'!B40*F11</f>
        <v>-1619.34294117647</v>
      </c>
    </row>
    <row r="16" customFormat="false" ht="15" hidden="false" customHeight="true" outlineLevel="0" collapsed="false">
      <c r="A16" s="6" t="s">
        <v>45</v>
      </c>
      <c r="B16" s="11" t="n">
        <f aca="false">-'Spec Sheet'!B41*F11</f>
        <v>-514.75</v>
      </c>
    </row>
    <row r="17" customFormat="false" ht="15" hidden="false" customHeight="true" outlineLevel="0" collapsed="false">
      <c r="A17" s="6" t="s">
        <v>196</v>
      </c>
      <c r="B17" s="11" t="n">
        <f aca="false">-('Spec Sheet'!B42+'Spec Sheet'!B43)*F11</f>
        <v>-1235.4</v>
      </c>
    </row>
    <row r="18" customFormat="false" ht="15" hidden="false" customHeight="true" outlineLevel="0" collapsed="false">
      <c r="A18" s="6" t="s">
        <v>197</v>
      </c>
      <c r="B18" s="11" t="n">
        <f aca="false">-B14*'Spec Sheet'!B51</f>
        <v>-103.4</v>
      </c>
    </row>
    <row r="19" customFormat="false" ht="15" hidden="false" customHeight="true" outlineLevel="0" collapsed="false">
      <c r="A19" s="6" t="s">
        <v>198</v>
      </c>
      <c r="B19" s="11" t="n">
        <f aca="false">-'Spec Sheet'!B36</f>
        <v>-872.369734123794</v>
      </c>
    </row>
    <row r="20" customFormat="false" ht="15" hidden="false" customHeight="true" outlineLevel="0" collapsed="false">
      <c r="A20" s="18" t="s">
        <v>199</v>
      </c>
      <c r="B20" s="19" t="n">
        <f aca="false">SUM(B15:B19)</f>
        <v>-4345.26267530026</v>
      </c>
    </row>
    <row r="22" customFormat="false" ht="15" hidden="false" customHeight="true" outlineLevel="0" collapsed="false">
      <c r="A22" s="4" t="s">
        <v>200</v>
      </c>
      <c r="B22" s="5"/>
      <c r="C22" s="5"/>
      <c r="D22" s="5"/>
    </row>
    <row r="23" customFormat="false" ht="15" hidden="false" customHeight="true" outlineLevel="0" collapsed="false">
      <c r="A23" s="18" t="s">
        <v>201</v>
      </c>
      <c r="B23" s="19" t="n">
        <f aca="false">B14+B20</f>
        <v>-209.262675300264</v>
      </c>
      <c r="D23" s="3" t="s">
        <v>202</v>
      </c>
    </row>
    <row r="24" customFormat="false" ht="15" hidden="false" customHeight="true" outlineLevel="0" collapsed="false">
      <c r="A24" s="6" t="s">
        <v>203</v>
      </c>
      <c r="B24" s="21" t="n">
        <f aca="false">IFERROR(B23/F11,0)</f>
        <v>-0.101633159446461</v>
      </c>
    </row>
    <row r="25" customFormat="false" ht="15" hidden="false" customHeight="true" outlineLevel="0" collapsed="false">
      <c r="A25" s="6" t="s">
        <v>204</v>
      </c>
      <c r="B25" s="21" t="n">
        <f aca="false">IFERROR(B23/D11,0)</f>
        <v>-0.120891204679529</v>
      </c>
    </row>
    <row r="26" customFormat="false" ht="15" hidden="false" customHeight="true" outlineLevel="0" collapsed="false">
      <c r="A26" s="6" t="s">
        <v>205</v>
      </c>
      <c r="B26" s="11" t="n">
        <f aca="false">'Spec Sheet'!B24</f>
        <v>1122</v>
      </c>
    </row>
    <row r="27" customFormat="false" ht="15" hidden="false" customHeight="true" outlineLevel="0" collapsed="false">
      <c r="A27" s="18" t="s">
        <v>206</v>
      </c>
      <c r="B27" s="20" t="n">
        <f aca="false">B23-B26</f>
        <v>-1331.26267530026</v>
      </c>
    </row>
    <row r="28" customFormat="false" ht="15" hidden="false" customHeight="true" outlineLevel="0" collapsed="false">
      <c r="A28" s="6" t="s">
        <v>207</v>
      </c>
      <c r="B28" s="29" t="n">
        <f aca="false">IFERROR(E11/F11,0)</f>
        <v>0.159300631374454</v>
      </c>
    </row>
    <row r="29" customFormat="false" ht="15" hidden="false" customHeight="true" outlineLevel="0" collapsed="false">
      <c r="A29" s="6" t="s">
        <v>208</v>
      </c>
      <c r="B29" s="21" t="n">
        <f aca="false">'Spec Sheet'!B52</f>
        <v>2.38577799759978</v>
      </c>
    </row>
    <row r="30" customFormat="false" ht="15" hidden="false" customHeight="true" outlineLevel="0" collapsed="false">
      <c r="A30" s="6" t="s">
        <v>209</v>
      </c>
      <c r="B30" s="21" t="n">
        <f aca="false">K11</f>
        <v>2.3893703061814</v>
      </c>
    </row>
    <row r="31" customFormat="false" ht="15" hidden="false" customHeight="true" outlineLevel="0" collapsed="false">
      <c r="A31" s="18" t="s">
        <v>210</v>
      </c>
      <c r="B31" s="23" t="n">
        <f aca="false">K11-'Spec Sheet'!B52</f>
        <v>0.00359230858162052</v>
      </c>
      <c r="D31" s="3" t="s">
        <v>211</v>
      </c>
    </row>
    <row r="34" customFormat="false" ht="15" hidden="false" customHeight="true" outlineLevel="0" collapsed="false">
      <c r="A34" s="18" t="s">
        <v>212</v>
      </c>
    </row>
    <row r="35" customFormat="false" ht="15" hidden="false" customHeight="true" outlineLevel="0" collapsed="false">
      <c r="A35" s="6" t="s">
        <v>213</v>
      </c>
      <c r="B35" s="7" t="s">
        <v>214</v>
      </c>
    </row>
    <row r="36" customFormat="false" ht="15" hidden="false" customHeight="true" outlineLevel="0" collapsed="false">
      <c r="A36" s="6" t="s">
        <v>215</v>
      </c>
      <c r="B36" s="9" t="n">
        <v>0</v>
      </c>
    </row>
    <row r="37" customFormat="false" ht="15" hidden="false" customHeight="true" outlineLevel="0" collapsed="false">
      <c r="A37" s="18" t="s">
        <v>216</v>
      </c>
      <c r="B37" s="20" t="n">
        <f aca="false">B36-B23</f>
        <v>209.262675300264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26"/>
    <col collapsed="false" customWidth="true" hidden="false" outlineLevel="0" max="3" min="3" style="1" width="6"/>
    <col collapsed="false" customWidth="true" hidden="false" outlineLevel="0" max="4" min="4" style="1" width="62"/>
  </cols>
  <sheetData>
    <row r="1" customFormat="false" ht="17.25" hidden="false" customHeight="true" outlineLevel="0" collapsed="false">
      <c r="A1" s="2" t="s">
        <v>217</v>
      </c>
    </row>
    <row r="2" customFormat="false" ht="15" hidden="false" customHeight="true" outlineLevel="0" collapsed="false">
      <c r="A2" s="3" t="s">
        <v>218</v>
      </c>
    </row>
    <row r="4" customFormat="false" ht="15" hidden="false" customHeight="true" outlineLevel="0" collapsed="false">
      <c r="A4" s="4" t="s">
        <v>219</v>
      </c>
      <c r="B4" s="5"/>
      <c r="C4" s="5"/>
      <c r="D4" s="5"/>
    </row>
    <row r="5" customFormat="false" ht="15" hidden="false" customHeight="true" outlineLevel="0" collapsed="false">
      <c r="A5" s="6" t="s">
        <v>130</v>
      </c>
      <c r="B5" s="7" t="s">
        <v>184</v>
      </c>
    </row>
    <row r="6" customFormat="false" ht="15" hidden="false" customHeight="true" outlineLevel="0" collapsed="false">
      <c r="A6" s="6" t="s">
        <v>131</v>
      </c>
      <c r="B6" s="7" t="s">
        <v>220</v>
      </c>
    </row>
    <row r="7" customFormat="false" ht="15" hidden="false" customHeight="true" outlineLevel="0" collapsed="false">
      <c r="A7" s="6" t="s">
        <v>221</v>
      </c>
      <c r="B7" s="8" t="n">
        <v>250</v>
      </c>
    </row>
    <row r="8" customFormat="false" ht="15" hidden="false" customHeight="true" outlineLevel="0" collapsed="false">
      <c r="A8" s="6" t="s">
        <v>222</v>
      </c>
      <c r="B8" s="8" t="n">
        <v>120</v>
      </c>
      <c r="D8" s="3" t="s">
        <v>223</v>
      </c>
    </row>
    <row r="9" customFormat="false" ht="15" hidden="false" customHeight="true" outlineLevel="0" collapsed="false">
      <c r="A9" s="18" t="s">
        <v>224</v>
      </c>
      <c r="B9" s="50" t="n">
        <f aca="false">B7+B8</f>
        <v>370</v>
      </c>
    </row>
    <row r="10" customFormat="false" ht="15" hidden="false" customHeight="true" outlineLevel="0" collapsed="false">
      <c r="A10" s="6" t="s">
        <v>135</v>
      </c>
      <c r="B10" s="9" t="n">
        <v>1200</v>
      </c>
    </row>
    <row r="11" customFormat="false" ht="15" hidden="false" customHeight="true" outlineLevel="0" collapsed="false">
      <c r="A11" s="6" t="s">
        <v>225</v>
      </c>
      <c r="B11" s="9" t="n">
        <v>0</v>
      </c>
    </row>
    <row r="12" customFormat="false" ht="15" hidden="false" customHeight="true" outlineLevel="0" collapsed="false">
      <c r="A12" s="6" t="s">
        <v>226</v>
      </c>
      <c r="B12" s="9" t="n">
        <v>50</v>
      </c>
    </row>
    <row r="13" customFormat="false" ht="15" hidden="false" customHeight="true" outlineLevel="0" collapsed="false">
      <c r="A13" s="18" t="s">
        <v>227</v>
      </c>
      <c r="B13" s="19" t="n">
        <f aca="false">SUM(B10:B12)</f>
        <v>1250</v>
      </c>
    </row>
    <row r="15" customFormat="false" ht="15" hidden="false" customHeight="true" outlineLevel="0" collapsed="false">
      <c r="A15" s="4" t="s">
        <v>228</v>
      </c>
      <c r="B15" s="5"/>
      <c r="C15" s="5"/>
      <c r="D15" s="5"/>
    </row>
    <row r="16" customFormat="false" ht="15" hidden="false" customHeight="true" outlineLevel="0" collapsed="false">
      <c r="A16" s="6" t="s">
        <v>229</v>
      </c>
      <c r="B16" s="7" t="s">
        <v>230</v>
      </c>
    </row>
    <row r="17" customFormat="false" ht="15" hidden="false" customHeight="true" outlineLevel="0" collapsed="false">
      <c r="A17" s="6" t="s">
        <v>231</v>
      </c>
      <c r="B17" s="7" t="s">
        <v>232</v>
      </c>
    </row>
    <row r="18" customFormat="false" ht="15" hidden="false" customHeight="true" outlineLevel="0" collapsed="false">
      <c r="A18" s="18" t="s">
        <v>233</v>
      </c>
      <c r="B18" s="28" t="n">
        <v>2</v>
      </c>
      <c r="D18" s="3" t="s">
        <v>234</v>
      </c>
    </row>
    <row r="19" customFormat="false" ht="15" hidden="false" customHeight="true" outlineLevel="0" collapsed="false">
      <c r="A19" s="6" t="s">
        <v>235</v>
      </c>
      <c r="B19" s="51" t="n">
        <f aca="false">B9/'Spec Sheet'!B69</f>
        <v>6.72727272727273</v>
      </c>
    </row>
    <row r="20" customFormat="false" ht="15" hidden="false" customHeight="true" outlineLevel="0" collapsed="false">
      <c r="A20" s="6" t="s">
        <v>236</v>
      </c>
      <c r="B20" s="14" t="n">
        <f aca="false">IFERROR(B9/B18,0)</f>
        <v>185</v>
      </c>
    </row>
    <row r="21" customFormat="false" ht="15" hidden="false" customHeight="true" outlineLevel="0" collapsed="false">
      <c r="A21" s="6" t="s">
        <v>237</v>
      </c>
      <c r="B21" s="6" t="str">
        <f aca="false">IF(B20&lt;'Spec Sheet'!B87,"PACE WARNING - fixed costs under-charged","pace ok")</f>
        <v>PACE WARNING - fixed costs under-charged</v>
      </c>
    </row>
    <row r="22" customFormat="false" ht="15" hidden="false" customHeight="true" outlineLevel="0" collapsed="false">
      <c r="A22" s="6" t="s">
        <v>238</v>
      </c>
      <c r="B22" s="9" t="n">
        <v>85</v>
      </c>
    </row>
    <row r="23" customFormat="false" ht="15" hidden="false" customHeight="true" outlineLevel="0" collapsed="false">
      <c r="A23" s="18" t="s">
        <v>239</v>
      </c>
      <c r="B23" s="52" t="n">
        <f aca="false">B18</f>
        <v>2</v>
      </c>
      <c r="D23" s="3" t="s">
        <v>240</v>
      </c>
    </row>
    <row r="24" customFormat="false" ht="15" hidden="false" customHeight="true" outlineLevel="0" collapsed="false">
      <c r="A24" s="18" t="s">
        <v>241</v>
      </c>
      <c r="B24" s="53" t="str">
        <f aca="false">IF(OR(B8&gt;'Spec Sheet'!B80,B7&gt;'Spec Sheet'!B81,B7&lt;'Spec Sheet'!B88),"NO - outside protocol, discard","yes")</f>
        <v>yes</v>
      </c>
      <c r="D24" s="3" t="s">
        <v>242</v>
      </c>
    </row>
    <row r="25" customFormat="false" ht="15" hidden="false" customHeight="true" outlineLevel="0" collapsed="false">
      <c r="A25" s="4" t="s">
        <v>243</v>
      </c>
      <c r="B25" s="5"/>
      <c r="C25" s="5"/>
      <c r="D25" s="5"/>
    </row>
    <row r="26" customFormat="false" ht="15" hidden="false" customHeight="true" outlineLevel="0" collapsed="false">
      <c r="A26" s="6" t="s">
        <v>244</v>
      </c>
      <c r="B26" s="11" t="n">
        <f aca="false">'Spec Sheet'!B44*B9</f>
        <v>605.494117647059</v>
      </c>
    </row>
    <row r="27" customFormat="false" ht="15" hidden="false" customHeight="true" outlineLevel="0" collapsed="false">
      <c r="A27" s="6" t="s">
        <v>197</v>
      </c>
      <c r="B27" s="11" t="n">
        <f aca="false">B13*'Spec Sheet'!B51</f>
        <v>31.25</v>
      </c>
    </row>
    <row r="28" customFormat="false" ht="15" hidden="false" customHeight="true" outlineLevel="0" collapsed="false">
      <c r="A28" s="18" t="s">
        <v>245</v>
      </c>
      <c r="B28" s="19" t="n">
        <f aca="false">B13-B26-B27-B22</f>
        <v>528.255882352941</v>
      </c>
    </row>
    <row r="29" customFormat="false" ht="15" hidden="false" customHeight="true" outlineLevel="0" collapsed="false">
      <c r="A29" s="18" t="s">
        <v>246</v>
      </c>
      <c r="B29" s="20" t="n">
        <f aca="false">IFERROR(B28/B23,0)</f>
        <v>264.127941176471</v>
      </c>
    </row>
    <row r="30" customFormat="false" ht="15" hidden="false" customHeight="true" outlineLevel="0" collapsed="false">
      <c r="A30" s="6" t="s">
        <v>247</v>
      </c>
      <c r="B30" s="16" t="n">
        <f aca="false">'Spec Sheet'!B74</f>
        <v>174.473946824759</v>
      </c>
    </row>
    <row r="31" customFormat="false" ht="15" hidden="false" customHeight="true" outlineLevel="0" collapsed="false">
      <c r="A31" s="18" t="s">
        <v>248</v>
      </c>
      <c r="B31" s="20" t="n">
        <f aca="false">B29-B30</f>
        <v>89.6539943517119</v>
      </c>
    </row>
    <row r="32" customFormat="false" ht="15" hidden="false" customHeight="true" outlineLevel="0" collapsed="false">
      <c r="A32" s="6" t="s">
        <v>249</v>
      </c>
      <c r="B32" s="21" t="n">
        <f aca="false">IFERROR(B13/B7,0)</f>
        <v>5</v>
      </c>
      <c r="D32" s="3" t="s">
        <v>250</v>
      </c>
    </row>
    <row r="33" customFormat="false" ht="15" hidden="false" customHeight="true" outlineLevel="0" collapsed="false">
      <c r="A33" s="6" t="s">
        <v>251</v>
      </c>
      <c r="B33" s="21" t="n">
        <f aca="false">IFERROR(B13/B9,0)</f>
        <v>3.37837837837838</v>
      </c>
    </row>
    <row r="35" customFormat="false" ht="15" hidden="false" customHeight="true" outlineLevel="0" collapsed="false">
      <c r="A35" s="4" t="s">
        <v>200</v>
      </c>
      <c r="B35" s="5"/>
      <c r="C35" s="5"/>
      <c r="D35" s="5"/>
    </row>
    <row r="36" customFormat="false" ht="15" hidden="false" customHeight="true" outlineLevel="0" collapsed="false">
      <c r="A36" s="6" t="s">
        <v>252</v>
      </c>
      <c r="B36" s="16" t="n">
        <f aca="false">'Spec Sheet'!B77</f>
        <v>250</v>
      </c>
    </row>
    <row r="37" customFormat="false" ht="15" hidden="false" customHeight="true" outlineLevel="0" collapsed="false">
      <c r="A37" s="18" t="s">
        <v>253</v>
      </c>
      <c r="B37" s="53" t="str">
        <f aca="false">IF(B31&gt;=B36,"GREEN - take it",IF(B31&gt;=0,"AMBER - counter or keep looking","RED - this load loses money"))</f>
        <v>AMBER - counter or keep looking</v>
      </c>
    </row>
    <row r="38" customFormat="false" ht="15" hidden="false" customHeight="true" outlineLevel="0" collapsed="false">
      <c r="A38" s="18" t="s">
        <v>254</v>
      </c>
      <c r="B38" s="20" t="n">
        <f aca="false">IFERROR(((B36+B30)*B23+B26+B22)/(1-'Spec Sheet'!B51),0)</f>
        <v>1578.9148833811</v>
      </c>
      <c r="D38" s="3" t="s">
        <v>255</v>
      </c>
    </row>
    <row r="39" customFormat="false" ht="15" hidden="false" customHeight="true" outlineLevel="0" collapsed="false">
      <c r="A39" s="6" t="s">
        <v>256</v>
      </c>
      <c r="B39" s="21" t="n">
        <f aca="false">IFERROR(B38/B7,0)</f>
        <v>6.31565953352442</v>
      </c>
    </row>
    <row r="40" customFormat="false" ht="15" hidden="false" customHeight="true" outlineLevel="0" collapsed="false">
      <c r="A40" s="6" t="s">
        <v>257</v>
      </c>
      <c r="B40" s="11" t="n">
        <f aca="false">B38-B13</f>
        <v>328.914883381104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2026-08-10T23:00:12Z</dcterms:created>
  <dc:creator>openpyxl</dc:creator>
  <dc:description/>
  <dc:language>en-US</dc:language>
  <cp:lastModifiedBy/>
  <dcterms:modified xsi:type="dcterms:W3CDTF">2026-08-13T03:12:15Z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